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DISCO_RESPALDO\volume(sda1)\DOCUMENTOS MAXITEL\INFORMES\"/>
    </mc:Choice>
  </mc:AlternateContent>
  <xr:revisionPtr revIDLastSave="0" documentId="8_{D037EE68-CCD1-431F-A1FE-1973231E07E2}" xr6:coauthVersionLast="47" xr6:coauthVersionMax="47" xr10:uidLastSave="{00000000-0000-0000-0000-000000000000}"/>
  <bookViews>
    <workbookView xWindow="-120" yWindow="-120" windowWidth="20730" windowHeight="11160" firstSheet="8" activeTab="12" xr2:uid="{00000000-000D-0000-FFFF-FFFF00000000}"/>
  </bookViews>
  <sheets>
    <sheet name="SANTA MARTHA" sheetId="2" r:id="rId1"/>
    <sheet name="PALENQUE" sheetId="1" r:id="rId2"/>
    <sheet name="LAS BALSAS" sheetId="3" r:id="rId3"/>
    <sheet name="LA PANCHITA" sheetId="4" r:id="rId4"/>
    <sheet name="EXTENSIONES LA ISLA" sheetId="5" r:id="rId5"/>
    <sheet name="RCTO LA CHONTILLA" sheetId="6" r:id="rId6"/>
    <sheet name="EXTENSIONES BABA" sheetId="7" r:id="rId7"/>
    <sheet name="LA UNION" sheetId="8" r:id="rId8"/>
    <sheet name="EXTENSION DE RED SAN JUAN " sheetId="9" r:id="rId9"/>
    <sheet name="HUAQUILLA" sheetId="10" r:id="rId10"/>
    <sheet name="PUERTO REAL" sheetId="11" r:id="rId11"/>
    <sheet name="ISLA-BABA" sheetId="12" r:id="rId12"/>
    <sheet name="GUARE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3" l="1"/>
  <c r="D14" i="13"/>
  <c r="D11" i="13"/>
  <c r="B21" i="13"/>
  <c r="B20" i="13"/>
  <c r="B19" i="13"/>
  <c r="D15" i="13"/>
  <c r="D13" i="13"/>
  <c r="D12" i="13"/>
  <c r="D10" i="13"/>
  <c r="D9" i="13"/>
  <c r="D8" i="13"/>
  <c r="D7" i="13"/>
  <c r="D6" i="13"/>
  <c r="D5" i="13"/>
  <c r="D4" i="12"/>
  <c r="D5" i="12"/>
  <c r="D23" i="12"/>
  <c r="D20" i="12"/>
  <c r="D12" i="12"/>
  <c r="D8" i="12"/>
  <c r="D11" i="12"/>
  <c r="D17" i="12"/>
  <c r="D16" i="12"/>
  <c r="D24" i="12"/>
  <c r="D19" i="12"/>
  <c r="B30" i="12"/>
  <c r="B29" i="12"/>
  <c r="B28" i="12"/>
  <c r="D22" i="12"/>
  <c r="D21" i="12"/>
  <c r="D18" i="12"/>
  <c r="D15" i="12"/>
  <c r="D14" i="12"/>
  <c r="D13" i="12"/>
  <c r="D10" i="12"/>
  <c r="D9" i="12"/>
  <c r="D7" i="12"/>
  <c r="D6" i="12"/>
  <c r="D4" i="11"/>
  <c r="D5" i="11"/>
  <c r="D15" i="11"/>
  <c r="D7" i="11"/>
  <c r="D16" i="11"/>
  <c r="D13" i="11"/>
  <c r="D17" i="11"/>
  <c r="B24" i="11"/>
  <c r="B23" i="11"/>
  <c r="B22" i="11"/>
  <c r="D18" i="11"/>
  <c r="D14" i="11"/>
  <c r="D12" i="11"/>
  <c r="D11" i="11"/>
  <c r="D10" i="11"/>
  <c r="D9" i="11"/>
  <c r="D8" i="11"/>
  <c r="D6" i="11"/>
  <c r="D5" i="10"/>
  <c r="D4" i="10"/>
  <c r="D20" i="10"/>
  <c r="D19" i="10"/>
  <c r="D15" i="10"/>
  <c r="B27" i="10"/>
  <c r="B26" i="10"/>
  <c r="B25" i="10"/>
  <c r="D21" i="10"/>
  <c r="D18" i="10"/>
  <c r="D17" i="10"/>
  <c r="D16" i="10"/>
  <c r="D14" i="10"/>
  <c r="D13" i="10"/>
  <c r="D12" i="10"/>
  <c r="D11" i="10"/>
  <c r="D10" i="10"/>
  <c r="D9" i="10"/>
  <c r="D8" i="10"/>
  <c r="D7" i="10"/>
  <c r="D6" i="10"/>
  <c r="B29" i="9"/>
  <c r="B28" i="9"/>
  <c r="B30" i="9"/>
  <c r="D5" i="9"/>
  <c r="D4" i="9"/>
  <c r="D21" i="9"/>
  <c r="D8" i="9"/>
  <c r="D16" i="9"/>
  <c r="D20" i="9"/>
  <c r="D24" i="9"/>
  <c r="D22" i="9"/>
  <c r="D19" i="9"/>
  <c r="D18" i="9"/>
  <c r="D17" i="9"/>
  <c r="D15" i="9"/>
  <c r="D14" i="9"/>
  <c r="D13" i="9"/>
  <c r="D12" i="9"/>
  <c r="D11" i="9"/>
  <c r="D10" i="9"/>
  <c r="D9" i="9"/>
  <c r="D7" i="9"/>
  <c r="D6" i="9"/>
  <c r="D30" i="8"/>
  <c r="D5" i="8"/>
  <c r="D8" i="8"/>
  <c r="D26" i="8"/>
  <c r="D22" i="8"/>
  <c r="D11" i="8"/>
  <c r="D25" i="8"/>
  <c r="D10" i="8"/>
  <c r="D17" i="8"/>
  <c r="D15" i="8"/>
  <c r="D18" i="8"/>
  <c r="D7" i="8"/>
  <c r="D4" i="8"/>
  <c r="D6" i="8"/>
  <c r="D28" i="8"/>
  <c r="B35" i="8"/>
  <c r="B34" i="8"/>
  <c r="B33" i="8"/>
  <c r="D24" i="8"/>
  <c r="D23" i="8"/>
  <c r="D21" i="8"/>
  <c r="D19" i="8"/>
  <c r="D16" i="8"/>
  <c r="D14" i="8"/>
  <c r="D13" i="8"/>
  <c r="D12" i="8"/>
  <c r="D5" i="7"/>
  <c r="D4" i="7"/>
  <c r="D21" i="7"/>
  <c r="D17" i="7"/>
  <c r="D18" i="7"/>
  <c r="D12" i="7"/>
  <c r="D22" i="7"/>
  <c r="B28" i="7"/>
  <c r="B27" i="7"/>
  <c r="B26" i="7"/>
  <c r="D20" i="7"/>
  <c r="D19" i="7"/>
  <c r="D16" i="7"/>
  <c r="D15" i="7"/>
  <c r="D14" i="7"/>
  <c r="D13" i="7"/>
  <c r="D11" i="7"/>
  <c r="D10" i="7"/>
  <c r="D9" i="7"/>
  <c r="D8" i="7"/>
  <c r="D7" i="7"/>
  <c r="D6" i="7"/>
  <c r="D12" i="6"/>
  <c r="D5" i="6"/>
  <c r="D8" i="6"/>
  <c r="D6" i="6"/>
  <c r="D14" i="6"/>
  <c r="D4" i="6"/>
  <c r="D13" i="5"/>
  <c r="D12" i="5"/>
  <c r="D5" i="5"/>
  <c r="D4" i="5"/>
  <c r="B20" i="6"/>
  <c r="D13" i="6"/>
  <c r="D11" i="6"/>
  <c r="D10" i="6"/>
  <c r="D9" i="6"/>
  <c r="D7" i="6"/>
  <c r="D16" i="4"/>
  <c r="D9" i="4"/>
  <c r="D13" i="4"/>
  <c r="D12" i="4"/>
  <c r="D19" i="4"/>
  <c r="B32" i="3"/>
  <c r="B31" i="3"/>
  <c r="D9" i="3"/>
  <c r="D5" i="3"/>
  <c r="D7" i="3"/>
  <c r="D20" i="3"/>
  <c r="D6" i="3"/>
  <c r="D8" i="3"/>
  <c r="D4" i="3"/>
  <c r="D27" i="3"/>
  <c r="D27" i="1"/>
  <c r="D9" i="1"/>
  <c r="D5" i="1"/>
  <c r="D6" i="1"/>
  <c r="D21" i="1"/>
  <c r="D4" i="1"/>
  <c r="D29" i="2"/>
  <c r="D27" i="2"/>
  <c r="D8" i="2"/>
  <c r="D18" i="2"/>
  <c r="D9" i="2"/>
  <c r="D30" i="2"/>
  <c r="B20" i="5"/>
  <c r="B19" i="5"/>
  <c r="B18" i="5"/>
  <c r="D14" i="5"/>
  <c r="D11" i="5"/>
  <c r="D10" i="5"/>
  <c r="D9" i="5"/>
  <c r="D8" i="5"/>
  <c r="D7" i="5"/>
  <c r="D6" i="5"/>
  <c r="B26" i="4"/>
  <c r="B25" i="4"/>
  <c r="D4" i="4"/>
  <c r="D5" i="4"/>
  <c r="D20" i="4"/>
  <c r="D6" i="4"/>
  <c r="D8" i="4"/>
  <c r="D18" i="4"/>
  <c r="D7" i="4"/>
  <c r="D21" i="4"/>
  <c r="B27" i="4"/>
  <c r="D17" i="4"/>
  <c r="D15" i="4"/>
  <c r="D14" i="4"/>
  <c r="D11" i="4"/>
  <c r="D10" i="4"/>
  <c r="D24" i="3"/>
  <c r="D22" i="3"/>
  <c r="D15" i="3"/>
  <c r="D13" i="3"/>
  <c r="D23" i="3"/>
  <c r="D25" i="3"/>
  <c r="D16" i="3"/>
  <c r="B33" i="3"/>
  <c r="D26" i="3"/>
  <c r="D21" i="3"/>
  <c r="D19" i="3"/>
  <c r="D18" i="3"/>
  <c r="D17" i="3"/>
  <c r="D14" i="3"/>
  <c r="D12" i="3"/>
  <c r="D11" i="3"/>
  <c r="D10" i="3"/>
  <c r="D26" i="2"/>
  <c r="D24" i="2"/>
  <c r="D25" i="2"/>
  <c r="D13" i="2"/>
  <c r="D14" i="2"/>
  <c r="D11" i="2"/>
  <c r="D29" i="1"/>
  <c r="D8" i="1"/>
  <c r="B35" i="1"/>
  <c r="B34" i="1"/>
  <c r="D19" i="1"/>
  <c r="D11" i="1"/>
  <c r="B36" i="2"/>
  <c r="B35" i="2"/>
  <c r="B34" i="2"/>
  <c r="D28" i="2"/>
  <c r="D23" i="2"/>
  <c r="D22" i="2"/>
  <c r="D21" i="2"/>
  <c r="D20" i="2"/>
  <c r="D19" i="2"/>
  <c r="D17" i="2"/>
  <c r="D16" i="2"/>
  <c r="D15" i="2"/>
  <c r="D12" i="2"/>
  <c r="D10" i="2"/>
  <c r="D7" i="2"/>
  <c r="D6" i="2"/>
  <c r="D5" i="2"/>
  <c r="D4" i="2"/>
  <c r="D25" i="1"/>
  <c r="D23" i="1"/>
  <c r="D13" i="1"/>
  <c r="D18" i="1"/>
  <c r="D24" i="1"/>
  <c r="D26" i="1"/>
  <c r="D16" i="1"/>
  <c r="D14" i="1"/>
  <c r="D28" i="1"/>
  <c r="D10" i="1"/>
  <c r="D20" i="1"/>
  <c r="D17" i="1"/>
  <c r="D15" i="1"/>
  <c r="D7" i="1"/>
  <c r="D16" i="13" l="1"/>
  <c r="B23" i="13" s="1"/>
  <c r="D25" i="12"/>
  <c r="B32" i="12" s="1"/>
  <c r="D19" i="11"/>
  <c r="B26" i="11" s="1"/>
  <c r="D22" i="10"/>
  <c r="B29" i="10" s="1"/>
  <c r="D25" i="9"/>
  <c r="B32" i="9" s="1"/>
  <c r="B37" i="8"/>
  <c r="D23" i="7"/>
  <c r="B30" i="7" s="1"/>
  <c r="D15" i="6"/>
  <c r="B22" i="6" s="1"/>
  <c r="D15" i="5"/>
  <c r="B22" i="5" s="1"/>
  <c r="D22" i="4"/>
  <c r="B29" i="4" s="1"/>
  <c r="D28" i="3"/>
  <c r="B35" i="3" s="1"/>
  <c r="D31" i="2"/>
  <c r="B38" i="2" s="1"/>
  <c r="B36" i="1"/>
  <c r="D22" i="1" l="1"/>
  <c r="D12" i="1"/>
  <c r="D31" i="1" s="1"/>
  <c r="B38" i="1" l="1"/>
</calcChain>
</file>

<file path=xl/sharedStrings.xml><?xml version="1.0" encoding="utf-8"?>
<sst xmlns="http://schemas.openxmlformats.org/spreadsheetml/2006/main" count="669" uniqueCount="87">
  <si>
    <t xml:space="preserve">COSTO DE MATERIAL PASIVO </t>
  </si>
  <si>
    <t>MATERIAL</t>
  </si>
  <si>
    <t>CANTIDAD</t>
  </si>
  <si>
    <t>UNIDAD</t>
  </si>
  <si>
    <t xml:space="preserve">TOTAL </t>
  </si>
  <si>
    <t>HERRAJE TIPO “A”</t>
  </si>
  <si>
    <t>HERRAJE TIPO “B”</t>
  </si>
  <si>
    <t>CINTA METALICA ¾</t>
  </si>
  <si>
    <t>HEBILLA METALICA ¾</t>
  </si>
  <si>
    <t>CINTA METALICA ½</t>
  </si>
  <si>
    <t>HEBILLA METALICA ½</t>
  </si>
  <si>
    <t>CINTA RANURADA</t>
  </si>
  <si>
    <t>SPLITTER 1:8</t>
  </si>
  <si>
    <t>MANGA TIPO DOMO 48 HILOS</t>
  </si>
  <si>
    <t>GANCHO DE DISPERCION</t>
  </si>
  <si>
    <t>PREFORMADO 9.6MM-10.6MM</t>
  </si>
  <si>
    <t>PREFORMADO 6.8MM-7.2MM</t>
  </si>
  <si>
    <t>ORGANIZADOR 80X80</t>
  </si>
  <si>
    <t>COSTO TOTAL</t>
  </si>
  <si>
    <t>DURACION DEL PROYECTO</t>
  </si>
  <si>
    <t>CAPACIDAD PARA CLIENTES</t>
  </si>
  <si>
    <t>MAXIMO DE CLIENTES</t>
  </si>
  <si>
    <t>COSTO MES/TRABAJADOR</t>
  </si>
  <si>
    <r>
      <t>N</t>
    </r>
    <r>
      <rPr>
        <b/>
        <sz val="11"/>
        <color rgb="FF3F3F3F"/>
        <rFont val="Calibri"/>
        <family val="2"/>
      </rPr>
      <t>◦ TRABAJADORES</t>
    </r>
  </si>
  <si>
    <t>COSTO TOTAL DEL PROYECTO</t>
  </si>
  <si>
    <t>UNIDS</t>
  </si>
  <si>
    <t>ROLLO</t>
  </si>
  <si>
    <t>FIBRA OPTICA DROOP FIBERHOME 8HILOS</t>
  </si>
  <si>
    <t>METROS</t>
  </si>
  <si>
    <t>FIBRA OPTICA ARMADA FIBERHOME 24H</t>
  </si>
  <si>
    <t>PREFORMADO 10.6MM-11.6MM</t>
  </si>
  <si>
    <t>AMARRAS PLASTICAS MEDIANAS</t>
  </si>
  <si>
    <t>NAP 1:8 SIN SPLITTER</t>
  </si>
  <si>
    <t>NAP 1:8 INCLUIDO SPLITTER</t>
  </si>
  <si>
    <t>FIBRA OPTICA ADSS  48 HILOS</t>
  </si>
  <si>
    <t>MANGA DE PASO 48 HILOS</t>
  </si>
  <si>
    <t>MANGA DE EMPALME 6 HILOS</t>
  </si>
  <si>
    <t>PINZA TENSOR</t>
  </si>
  <si>
    <t>FIBRA OPTICA ADSS PSTEL 24 HILOS</t>
  </si>
  <si>
    <t>FIBRA OPTICA ADSS PSTEL 12 HILOS</t>
  </si>
  <si>
    <t>PREFORMADO 8MM-9MM</t>
  </si>
  <si>
    <t>PROYECTO: PALENQUE</t>
  </si>
  <si>
    <t>FIBRA OPTICA ASU PSTEL 12 HILOS</t>
  </si>
  <si>
    <t>COMPRA DE CLIENTES EN PALENQUE</t>
  </si>
  <si>
    <t>CLIENTES</t>
  </si>
  <si>
    <t>COMPRA DE EQUIPOS PALENQUE</t>
  </si>
  <si>
    <t>PROYECTO: SANTA MARTHA</t>
  </si>
  <si>
    <t>PREFORMADO 9MM-8MM</t>
  </si>
  <si>
    <t>FIBRA OPTICA ASU  12 HILOS</t>
  </si>
  <si>
    <t>PROYECTO: LAS BALSAS</t>
  </si>
  <si>
    <t>PROYECTO: LA PANCHITA</t>
  </si>
  <si>
    <t>FIBRA OPTICA ASU PSTL  12 HILOS</t>
  </si>
  <si>
    <t>FIBRA OPTICA ASU 6H</t>
  </si>
  <si>
    <t>PREFORMADO 8MM</t>
  </si>
  <si>
    <t>AMARRAS PLASTICAS GRANDES</t>
  </si>
  <si>
    <t>FIBRA ARMADA 24H FIBERHOME</t>
  </si>
  <si>
    <t>FIBRA OPTICA ADSS 12H PSTEL</t>
  </si>
  <si>
    <t>FIBRA OPTICA ADSS 24H PSTEL</t>
  </si>
  <si>
    <t>FIBRA OPTICA ARSS PSTEL 12 HILOS</t>
  </si>
  <si>
    <t>FIBRA OPTICA ADSS CONNECTION 12H</t>
  </si>
  <si>
    <t>FIBRA OPTICA ADSS PSTEL 12H</t>
  </si>
  <si>
    <t>FIBRA OPTICA ASU PSTEL  12 HILOS</t>
  </si>
  <si>
    <t>FIBRA OPTICA ASU FIBERHOME 8H</t>
  </si>
  <si>
    <t>CASSETTE 1*8 SC/APC</t>
  </si>
  <si>
    <t xml:space="preserve">PROYECTO: </t>
  </si>
  <si>
    <t>PROYECTO: EXTENSIO DE RED EN LA PARROQUIA LA ISLA</t>
  </si>
  <si>
    <t>FIBRA OPTICA ADSS 12 HILOS</t>
  </si>
  <si>
    <t>NAP 1:16 INCLUIDO SPLITTER</t>
  </si>
  <si>
    <t>FIBRA OPTICA ADSS 48H</t>
  </si>
  <si>
    <t>PROYECTO: EXTENSION DE RED BABA</t>
  </si>
  <si>
    <t>MANGA DE EMPALME 6H</t>
  </si>
  <si>
    <t>FIBRA OPTICA ADSS PSTEL 24H</t>
  </si>
  <si>
    <t>FIBRA OPTICA ASU PSTEL 12H</t>
  </si>
  <si>
    <t>FIBRA OPTICA ADSS YOFC 24H</t>
  </si>
  <si>
    <t>ODF 48H NITROTEL</t>
  </si>
  <si>
    <t>ORGANIZADOR VERTICAL 80X80</t>
  </si>
  <si>
    <t>FIBRA ARSS 12H PSTEL</t>
  </si>
  <si>
    <t>SPLITTER 1:16</t>
  </si>
  <si>
    <t>COMPRA DE OPERACIÓN DE 480 CLIENTES</t>
  </si>
  <si>
    <t>PROYECTO: LA UNION</t>
  </si>
  <si>
    <t>FIBRA ADSS 24H</t>
  </si>
  <si>
    <t>PROYECTO: EXTENSION DE RED SAN JUAN</t>
  </si>
  <si>
    <t>PROYECTO: HUAQUILLA-MANTUANO</t>
  </si>
  <si>
    <t>NAP INCLUIDO SPLITTER</t>
  </si>
  <si>
    <t xml:space="preserve">PROYECTO: PUERTO REAL </t>
  </si>
  <si>
    <t>PROYECTO: ENLACE ISLA-BABA</t>
  </si>
  <si>
    <t>PROYECTO: GUARE DE BABA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</si>
</sst>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[$$-300A]#,##0.0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3F"/>
      <name val="Calibr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3" applyNumberFormat="0" applyFont="0" applyAlignment="0" applyProtection="0"/>
  </cellStyleXfs>
  <cellXfs count="18">
    <xf numFmtId="0" fontId="0" fillId="0" borderId="0" xfId="0"/>
    <xf numFmtId="0" fontId="3" fillId="3" borderId="2" xfId="2"/>
    <xf numFmtId="164" fontId="3" fillId="3" borderId="2" xfId="2" applyNumberFormat="1"/>
    <xf numFmtId="0" fontId="3" fillId="3" borderId="2" xfId="2" applyAlignment="1">
      <alignment horizontal="center"/>
    </xf>
    <xf numFmtId="164" fontId="3" fillId="5" borderId="2" xfId="2" applyNumberFormat="1" applyFill="1"/>
    <xf numFmtId="0" fontId="3" fillId="3" borderId="2" xfId="2" applyAlignment="1">
      <alignment horizontal="right"/>
    </xf>
    <xf numFmtId="0" fontId="6" fillId="6" borderId="3" xfId="3" applyFont="1" applyFill="1"/>
    <xf numFmtId="0" fontId="3" fillId="7" borderId="2" xfId="2" applyFill="1"/>
    <xf numFmtId="0" fontId="6" fillId="5" borderId="0" xfId="0" applyFont="1" applyFill="1"/>
    <xf numFmtId="164" fontId="0" fillId="0" borderId="0" xfId="0" applyNumberFormat="1"/>
    <xf numFmtId="0" fontId="3" fillId="8" borderId="2" xfId="2" applyFill="1"/>
    <xf numFmtId="0" fontId="3" fillId="6" borderId="2" xfId="2" applyFill="1"/>
    <xf numFmtId="0" fontId="0" fillId="5" borderId="0" xfId="0" applyFill="1"/>
    <xf numFmtId="0" fontId="4" fillId="2" borderId="1" xfId="1" applyFont="1" applyAlignment="1">
      <alignment horizontal="center"/>
    </xf>
    <xf numFmtId="0" fontId="3" fillId="3" borderId="2" xfId="2" applyAlignment="1">
      <alignment horizontal="center"/>
    </xf>
    <xf numFmtId="44" fontId="3" fillId="7" borderId="2" xfId="2" applyNumberFormat="1" applyFill="1"/>
    <xf numFmtId="44" fontId="3" fillId="3" borderId="2" xfId="2" applyNumberFormat="1"/>
    <xf numFmtId="166" fontId="3" fillId="7" borderId="2" xfId="2" applyNumberFormat="1" applyFill="1"/>
  </cellXfs>
  <cellStyles count="4">
    <cellStyle name="Entrada" xfId="1" builtinId="20"/>
    <cellStyle name="Normal" xfId="0" builtinId="0"/>
    <cellStyle name="Notas" xfId="3" builtinId="1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opLeftCell="A7" workbookViewId="0">
      <selection activeCell="H26" sqref="H26"/>
    </sheetView>
  </sheetViews>
  <sheetFormatPr baseColWidth="10" defaultRowHeight="15" x14ac:dyDescent="0.25"/>
  <cols>
    <col min="1" max="1" width="38" customWidth="1"/>
  </cols>
  <sheetData>
    <row r="1" spans="1:4" x14ac:dyDescent="0.25">
      <c r="A1" s="8" t="s">
        <v>46</v>
      </c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34</v>
      </c>
      <c r="B4" s="3">
        <v>4734</v>
      </c>
      <c r="C4" s="3" t="s">
        <v>28</v>
      </c>
      <c r="D4" s="2">
        <f>B4*0.59</f>
        <v>2793.06</v>
      </c>
    </row>
    <row r="5" spans="1:4" x14ac:dyDescent="0.25">
      <c r="A5" s="1" t="s">
        <v>29</v>
      </c>
      <c r="B5" s="3">
        <v>3000</v>
      </c>
      <c r="C5" s="3" t="s">
        <v>28</v>
      </c>
      <c r="D5" s="2">
        <f>B5*1.05</f>
        <v>3150</v>
      </c>
    </row>
    <row r="6" spans="1:4" x14ac:dyDescent="0.25">
      <c r="A6" s="1" t="s">
        <v>38</v>
      </c>
      <c r="B6" s="3">
        <v>5258</v>
      </c>
      <c r="C6" s="3" t="s">
        <v>28</v>
      </c>
      <c r="D6" s="2">
        <f>B6*0.62</f>
        <v>3259.96</v>
      </c>
    </row>
    <row r="7" spans="1:4" x14ac:dyDescent="0.25">
      <c r="A7" s="1" t="s">
        <v>27</v>
      </c>
      <c r="B7" s="3">
        <v>802</v>
      </c>
      <c r="C7" s="3" t="s">
        <v>28</v>
      </c>
      <c r="D7" s="2">
        <f>B7*0.305</f>
        <v>244.60999999999999</v>
      </c>
    </row>
    <row r="8" spans="1:4" x14ac:dyDescent="0.25">
      <c r="A8" s="1" t="s">
        <v>39</v>
      </c>
      <c r="B8" s="3">
        <v>2030</v>
      </c>
      <c r="C8" s="3" t="s">
        <v>28</v>
      </c>
      <c r="D8" s="2">
        <f>B8*0.6</f>
        <v>1218</v>
      </c>
    </row>
    <row r="9" spans="1:4" x14ac:dyDescent="0.25">
      <c r="A9" s="1" t="s">
        <v>52</v>
      </c>
      <c r="B9" s="3">
        <v>1873</v>
      </c>
      <c r="C9" s="3" t="s">
        <v>28</v>
      </c>
      <c r="D9" s="2">
        <f>B9*0.144</f>
        <v>269.71199999999999</v>
      </c>
    </row>
    <row r="10" spans="1:4" x14ac:dyDescent="0.25">
      <c r="A10" s="1" t="s">
        <v>37</v>
      </c>
      <c r="B10" s="3">
        <v>70</v>
      </c>
      <c r="C10" s="3" t="s">
        <v>25</v>
      </c>
      <c r="D10" s="2">
        <f>0.85*B10</f>
        <v>59.5</v>
      </c>
    </row>
    <row r="11" spans="1:4" x14ac:dyDescent="0.25">
      <c r="A11" s="1" t="s">
        <v>5</v>
      </c>
      <c r="B11" s="3">
        <v>69</v>
      </c>
      <c r="C11" s="3" t="s">
        <v>25</v>
      </c>
      <c r="D11" s="2">
        <f>1.46*B11</f>
        <v>100.74</v>
      </c>
    </row>
    <row r="12" spans="1:4" x14ac:dyDescent="0.25">
      <c r="A12" s="1" t="s">
        <v>6</v>
      </c>
      <c r="B12" s="3">
        <v>9</v>
      </c>
      <c r="C12" s="3" t="s">
        <v>25</v>
      </c>
      <c r="D12" s="2">
        <f>B12*1.8</f>
        <v>16.2</v>
      </c>
    </row>
    <row r="13" spans="1:4" x14ac:dyDescent="0.25">
      <c r="A13" s="1" t="s">
        <v>7</v>
      </c>
      <c r="B13" s="3">
        <v>8</v>
      </c>
      <c r="C13" s="3" t="s">
        <v>26</v>
      </c>
      <c r="D13" s="2">
        <f>20.13*B13</f>
        <v>161.04</v>
      </c>
    </row>
    <row r="14" spans="1:4" x14ac:dyDescent="0.25">
      <c r="A14" s="1" t="s">
        <v>8</v>
      </c>
      <c r="B14" s="3">
        <v>160</v>
      </c>
      <c r="C14" s="3" t="s">
        <v>25</v>
      </c>
      <c r="D14" s="2">
        <f>B14*0.2</f>
        <v>32</v>
      </c>
    </row>
    <row r="15" spans="1:4" x14ac:dyDescent="0.25">
      <c r="A15" s="1" t="s">
        <v>9</v>
      </c>
      <c r="B15" s="3">
        <v>4</v>
      </c>
      <c r="C15" s="3" t="s">
        <v>26</v>
      </c>
      <c r="D15" s="2">
        <f>16.62*B15</f>
        <v>66.48</v>
      </c>
    </row>
    <row r="16" spans="1:4" x14ac:dyDescent="0.25">
      <c r="A16" s="1" t="s">
        <v>10</v>
      </c>
      <c r="B16" s="3">
        <v>64</v>
      </c>
      <c r="C16" s="3" t="s">
        <v>25</v>
      </c>
      <c r="D16" s="2">
        <f>0.17*B16</f>
        <v>10.88</v>
      </c>
    </row>
    <row r="17" spans="1:4" x14ac:dyDescent="0.25">
      <c r="A17" s="1" t="s">
        <v>11</v>
      </c>
      <c r="B17" s="3">
        <v>99</v>
      </c>
      <c r="C17" s="3" t="s">
        <v>25</v>
      </c>
      <c r="D17" s="2">
        <f>0.796*B17</f>
        <v>78.804000000000002</v>
      </c>
    </row>
    <row r="18" spans="1:4" x14ac:dyDescent="0.25">
      <c r="A18" s="1" t="s">
        <v>32</v>
      </c>
      <c r="B18" s="3">
        <v>2</v>
      </c>
      <c r="C18" s="3" t="s">
        <v>25</v>
      </c>
      <c r="D18" s="2">
        <f>17.62*B18</f>
        <v>35.24</v>
      </c>
    </row>
    <row r="19" spans="1:4" x14ac:dyDescent="0.25">
      <c r="A19" s="1" t="s">
        <v>33</v>
      </c>
      <c r="B19" s="3">
        <v>30</v>
      </c>
      <c r="C19" s="3" t="s">
        <v>25</v>
      </c>
      <c r="D19" s="2">
        <f>19.21*B19</f>
        <v>576.30000000000007</v>
      </c>
    </row>
    <row r="20" spans="1:4" x14ac:dyDescent="0.25">
      <c r="A20" s="1" t="s">
        <v>12</v>
      </c>
      <c r="B20" s="3">
        <v>4</v>
      </c>
      <c r="C20" s="3" t="s">
        <v>25</v>
      </c>
      <c r="D20" s="2">
        <f>7.9*B20</f>
        <v>31.6</v>
      </c>
    </row>
    <row r="21" spans="1:4" x14ac:dyDescent="0.25">
      <c r="A21" s="1" t="s">
        <v>36</v>
      </c>
      <c r="B21" s="3">
        <v>2</v>
      </c>
      <c r="C21" s="3" t="s">
        <v>25</v>
      </c>
      <c r="D21" s="2">
        <f>10.5*B21</f>
        <v>21</v>
      </c>
    </row>
    <row r="22" spans="1:4" x14ac:dyDescent="0.25">
      <c r="A22" s="1" t="s">
        <v>35</v>
      </c>
      <c r="B22" s="3">
        <v>5</v>
      </c>
      <c r="C22" s="3" t="s">
        <v>25</v>
      </c>
      <c r="D22" s="2">
        <f>B22*34.6</f>
        <v>173</v>
      </c>
    </row>
    <row r="23" spans="1:4" x14ac:dyDescent="0.25">
      <c r="A23" s="1" t="s">
        <v>13</v>
      </c>
      <c r="B23" s="3">
        <v>2</v>
      </c>
      <c r="C23" s="3" t="s">
        <v>25</v>
      </c>
      <c r="D23" s="2">
        <f>50*B23</f>
        <v>100</v>
      </c>
    </row>
    <row r="24" spans="1:4" x14ac:dyDescent="0.25">
      <c r="A24" s="1" t="s">
        <v>14</v>
      </c>
      <c r="B24" s="3">
        <v>141</v>
      </c>
      <c r="C24" s="3" t="s">
        <v>25</v>
      </c>
      <c r="D24" s="2">
        <f>0.31*B24</f>
        <v>43.71</v>
      </c>
    </row>
    <row r="25" spans="1:4" x14ac:dyDescent="0.25">
      <c r="A25" s="1" t="s">
        <v>30</v>
      </c>
      <c r="B25" s="3">
        <v>100</v>
      </c>
      <c r="C25" s="3" t="s">
        <v>25</v>
      </c>
      <c r="D25" s="2">
        <f>B25*3.19</f>
        <v>319</v>
      </c>
    </row>
    <row r="26" spans="1:4" x14ac:dyDescent="0.25">
      <c r="A26" s="1" t="s">
        <v>15</v>
      </c>
      <c r="B26" s="3">
        <v>205</v>
      </c>
      <c r="C26" s="3" t="s">
        <v>25</v>
      </c>
      <c r="D26" s="2">
        <f>3.42*B26</f>
        <v>701.1</v>
      </c>
    </row>
    <row r="27" spans="1:4" x14ac:dyDescent="0.25">
      <c r="A27" s="1" t="s">
        <v>53</v>
      </c>
      <c r="B27" s="3">
        <v>80</v>
      </c>
      <c r="C27" s="3" t="s">
        <v>25</v>
      </c>
      <c r="D27" s="2">
        <f>B27*3.9</f>
        <v>312</v>
      </c>
    </row>
    <row r="28" spans="1:4" x14ac:dyDescent="0.25">
      <c r="A28" s="1" t="s">
        <v>16</v>
      </c>
      <c r="B28" s="3">
        <v>10</v>
      </c>
      <c r="C28" s="3" t="s">
        <v>25</v>
      </c>
      <c r="D28" s="2">
        <f>3.3*B28</f>
        <v>33</v>
      </c>
    </row>
    <row r="29" spans="1:4" x14ac:dyDescent="0.25">
      <c r="A29" s="1" t="s">
        <v>54</v>
      </c>
      <c r="B29" s="3">
        <v>52</v>
      </c>
      <c r="C29" s="3" t="s">
        <v>25</v>
      </c>
      <c r="D29" s="2">
        <f>B29*0.29</f>
        <v>15.079999999999998</v>
      </c>
    </row>
    <row r="30" spans="1:4" x14ac:dyDescent="0.25">
      <c r="A30" s="1" t="s">
        <v>31</v>
      </c>
      <c r="B30" s="3">
        <v>378</v>
      </c>
      <c r="C30" s="3" t="s">
        <v>25</v>
      </c>
      <c r="D30" s="2">
        <f>0.065*B30</f>
        <v>24.57</v>
      </c>
    </row>
    <row r="31" spans="1:4" x14ac:dyDescent="0.25">
      <c r="A31" s="14" t="s">
        <v>18</v>
      </c>
      <c r="B31" s="14"/>
      <c r="C31" s="14"/>
      <c r="D31" s="4">
        <f>SUM(D4:D30)</f>
        <v>13846.585999999999</v>
      </c>
    </row>
    <row r="33" spans="1:2" x14ac:dyDescent="0.25">
      <c r="A33" s="1" t="s">
        <v>19</v>
      </c>
      <c r="B33" s="5">
        <v>30</v>
      </c>
    </row>
    <row r="34" spans="1:2" x14ac:dyDescent="0.25">
      <c r="A34" s="1" t="s">
        <v>20</v>
      </c>
      <c r="B34" s="10">
        <f>(B19+B18)*8</f>
        <v>256</v>
      </c>
    </row>
    <row r="35" spans="1:2" x14ac:dyDescent="0.25">
      <c r="A35" s="1" t="s">
        <v>21</v>
      </c>
      <c r="B35" s="11">
        <f>(B19+B18)*16</f>
        <v>512</v>
      </c>
    </row>
    <row r="36" spans="1:2" x14ac:dyDescent="0.25">
      <c r="A36" s="1" t="s">
        <v>22</v>
      </c>
      <c r="B36" s="1">
        <f>450/B37*B33</f>
        <v>2250</v>
      </c>
    </row>
    <row r="37" spans="1:2" x14ac:dyDescent="0.25">
      <c r="A37" s="1" t="s">
        <v>23</v>
      </c>
      <c r="B37" s="1">
        <v>6</v>
      </c>
    </row>
    <row r="38" spans="1:2" x14ac:dyDescent="0.25">
      <c r="A38" s="1" t="s">
        <v>24</v>
      </c>
      <c r="B38" s="7">
        <f>D31+B36</f>
        <v>16096.585999999999</v>
      </c>
    </row>
  </sheetData>
  <mergeCells count="2">
    <mergeCell ref="A2:D2"/>
    <mergeCell ref="A31:C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7E945-7DC1-4771-87E0-8C7E2B84AE0E}">
  <dimension ref="A1:D29"/>
  <sheetViews>
    <sheetView workbookViewId="0">
      <selection sqref="A1:D29"/>
    </sheetView>
  </sheetViews>
  <sheetFormatPr baseColWidth="10" defaultRowHeight="15" x14ac:dyDescent="0.25"/>
  <cols>
    <col min="1" max="1" width="33.28515625" customWidth="1"/>
  </cols>
  <sheetData>
    <row r="1" spans="1:4" x14ac:dyDescent="0.25">
      <c r="A1" s="8" t="s">
        <v>82</v>
      </c>
      <c r="B1" s="12"/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71</v>
      </c>
      <c r="B4" s="3">
        <v>5382</v>
      </c>
      <c r="C4" s="3" t="s">
        <v>28</v>
      </c>
      <c r="D4" s="2">
        <f>B4*0.59</f>
        <v>3175.3799999999997</v>
      </c>
    </row>
    <row r="5" spans="1:4" x14ac:dyDescent="0.25">
      <c r="A5" s="1" t="s">
        <v>72</v>
      </c>
      <c r="B5" s="3">
        <v>2229</v>
      </c>
      <c r="C5" s="3" t="s">
        <v>28</v>
      </c>
      <c r="D5" s="2">
        <f>B5*0.28</f>
        <v>624.12</v>
      </c>
    </row>
    <row r="6" spans="1:4" x14ac:dyDescent="0.25">
      <c r="A6" s="1" t="s">
        <v>62</v>
      </c>
      <c r="B6" s="3">
        <v>2365</v>
      </c>
      <c r="C6" s="3" t="s">
        <v>28</v>
      </c>
      <c r="D6" s="2">
        <f>B6*0.305</f>
        <v>721.32499999999993</v>
      </c>
    </row>
    <row r="7" spans="1:4" x14ac:dyDescent="0.25">
      <c r="A7" s="1" t="s">
        <v>14</v>
      </c>
      <c r="B7" s="3">
        <v>82</v>
      </c>
      <c r="C7" s="3" t="s">
        <v>25</v>
      </c>
      <c r="D7" s="2">
        <f>0.24*B7</f>
        <v>19.68</v>
      </c>
    </row>
    <row r="8" spans="1:4" x14ac:dyDescent="0.25">
      <c r="A8" s="1" t="s">
        <v>5</v>
      </c>
      <c r="B8" s="3">
        <v>55</v>
      </c>
      <c r="C8" s="3" t="s">
        <v>25</v>
      </c>
      <c r="D8" s="2">
        <f>1.3*B8</f>
        <v>71.5</v>
      </c>
    </row>
    <row r="9" spans="1:4" x14ac:dyDescent="0.25">
      <c r="A9" s="1" t="s">
        <v>6</v>
      </c>
      <c r="B9" s="3">
        <v>16</v>
      </c>
      <c r="C9" s="3" t="s">
        <v>25</v>
      </c>
      <c r="D9" s="2">
        <f>B9*1.8</f>
        <v>28.8</v>
      </c>
    </row>
    <row r="10" spans="1:4" x14ac:dyDescent="0.25">
      <c r="A10" s="1" t="s">
        <v>7</v>
      </c>
      <c r="B10" s="3">
        <v>3</v>
      </c>
      <c r="C10" s="3" t="s">
        <v>26</v>
      </c>
      <c r="D10" s="2">
        <f>20.6*B10</f>
        <v>61.800000000000004</v>
      </c>
    </row>
    <row r="11" spans="1:4" x14ac:dyDescent="0.25">
      <c r="A11" s="1" t="s">
        <v>8</v>
      </c>
      <c r="B11" s="3">
        <v>174</v>
      </c>
      <c r="C11" s="3" t="s">
        <v>25</v>
      </c>
      <c r="D11" s="2">
        <f>B11*0.2</f>
        <v>34.800000000000004</v>
      </c>
    </row>
    <row r="12" spans="1:4" x14ac:dyDescent="0.25">
      <c r="A12" s="1" t="s">
        <v>9</v>
      </c>
      <c r="B12" s="3">
        <v>1</v>
      </c>
      <c r="C12" s="3" t="s">
        <v>26</v>
      </c>
      <c r="D12" s="2">
        <f>16.95*B12</f>
        <v>16.95</v>
      </c>
    </row>
    <row r="13" spans="1:4" x14ac:dyDescent="0.25">
      <c r="A13" s="1" t="s">
        <v>10</v>
      </c>
      <c r="B13" s="3">
        <v>62</v>
      </c>
      <c r="C13" s="3" t="s">
        <v>25</v>
      </c>
      <c r="D13" s="2">
        <f>0.18*B13</f>
        <v>11.16</v>
      </c>
    </row>
    <row r="14" spans="1:4" x14ac:dyDescent="0.25">
      <c r="A14" s="1" t="s">
        <v>11</v>
      </c>
      <c r="B14" s="3">
        <v>63</v>
      </c>
      <c r="C14" s="3" t="s">
        <v>25</v>
      </c>
      <c r="D14" s="2">
        <f>0.781*B14</f>
        <v>49.203000000000003</v>
      </c>
    </row>
    <row r="15" spans="1:4" x14ac:dyDescent="0.25">
      <c r="A15" s="1" t="s">
        <v>83</v>
      </c>
      <c r="B15" s="3">
        <v>21</v>
      </c>
      <c r="C15" s="3" t="s">
        <v>25</v>
      </c>
      <c r="D15" s="2">
        <f>15.5*B15</f>
        <v>325.5</v>
      </c>
    </row>
    <row r="16" spans="1:4" x14ac:dyDescent="0.25">
      <c r="A16" s="1" t="s">
        <v>12</v>
      </c>
      <c r="B16" s="3">
        <v>2</v>
      </c>
      <c r="C16" s="3" t="s">
        <v>25</v>
      </c>
      <c r="D16" s="2">
        <f>7.9*B16</f>
        <v>15.8</v>
      </c>
    </row>
    <row r="17" spans="1:4" x14ac:dyDescent="0.25">
      <c r="A17" s="1" t="s">
        <v>35</v>
      </c>
      <c r="B17" s="3">
        <v>1</v>
      </c>
      <c r="C17" s="3" t="s">
        <v>25</v>
      </c>
      <c r="D17" s="2">
        <f>B17*55</f>
        <v>55</v>
      </c>
    </row>
    <row r="18" spans="1:4" x14ac:dyDescent="0.25">
      <c r="A18" s="1" t="s">
        <v>13</v>
      </c>
      <c r="B18" s="3">
        <v>2</v>
      </c>
      <c r="C18" s="3" t="s">
        <v>25</v>
      </c>
      <c r="D18" s="2">
        <f>50*B18</f>
        <v>100</v>
      </c>
    </row>
    <row r="19" spans="1:4" x14ac:dyDescent="0.25">
      <c r="A19" s="1" t="s">
        <v>15</v>
      </c>
      <c r="B19" s="3">
        <v>104</v>
      </c>
      <c r="C19" s="3" t="s">
        <v>25</v>
      </c>
      <c r="D19" s="2">
        <f>B19*3.7</f>
        <v>384.8</v>
      </c>
    </row>
    <row r="20" spans="1:4" x14ac:dyDescent="0.25">
      <c r="A20" s="1" t="s">
        <v>16</v>
      </c>
      <c r="B20" s="3">
        <v>79</v>
      </c>
      <c r="C20" s="3" t="s">
        <v>25</v>
      </c>
      <c r="D20" s="2">
        <f>2.5*B20</f>
        <v>197.5</v>
      </c>
    </row>
    <row r="21" spans="1:4" x14ac:dyDescent="0.25">
      <c r="A21" s="1" t="s">
        <v>31</v>
      </c>
      <c r="B21" s="3">
        <v>200</v>
      </c>
      <c r="C21" s="3" t="s">
        <v>25</v>
      </c>
      <c r="D21" s="2">
        <f>0.06*B21</f>
        <v>12</v>
      </c>
    </row>
    <row r="22" spans="1:4" x14ac:dyDescent="0.25">
      <c r="A22" s="14" t="s">
        <v>18</v>
      </c>
      <c r="B22" s="14"/>
      <c r="C22" s="14"/>
      <c r="D22" s="4">
        <f>SUM(D4:D21)</f>
        <v>5905.3180000000011</v>
      </c>
    </row>
    <row r="24" spans="1:4" x14ac:dyDescent="0.25">
      <c r="A24" s="1" t="s">
        <v>19</v>
      </c>
      <c r="B24" s="5">
        <v>21</v>
      </c>
    </row>
    <row r="25" spans="1:4" x14ac:dyDescent="0.25">
      <c r="A25" s="1" t="s">
        <v>20</v>
      </c>
      <c r="B25" s="10">
        <f>(B15)*8</f>
        <v>168</v>
      </c>
    </row>
    <row r="26" spans="1:4" x14ac:dyDescent="0.25">
      <c r="A26" s="1" t="s">
        <v>21</v>
      </c>
      <c r="B26" s="11">
        <f>(B15)*16</f>
        <v>336</v>
      </c>
    </row>
    <row r="27" spans="1:4" x14ac:dyDescent="0.25">
      <c r="A27" s="1" t="s">
        <v>22</v>
      </c>
      <c r="B27" s="16">
        <f>450/B28*B24</f>
        <v>1575</v>
      </c>
    </row>
    <row r="28" spans="1:4" x14ac:dyDescent="0.25">
      <c r="A28" s="1" t="s">
        <v>23</v>
      </c>
      <c r="B28" s="1">
        <v>6</v>
      </c>
    </row>
    <row r="29" spans="1:4" x14ac:dyDescent="0.25">
      <c r="A29" s="1" t="s">
        <v>24</v>
      </c>
      <c r="B29" s="17">
        <f>D22+B27</f>
        <v>7480.3180000000011</v>
      </c>
    </row>
  </sheetData>
  <mergeCells count="2">
    <mergeCell ref="A2:D2"/>
    <mergeCell ref="A22:C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C0911-ABA3-4265-8133-2631069D96C1}">
  <dimension ref="A1:D26"/>
  <sheetViews>
    <sheetView workbookViewId="0">
      <selection sqref="A1:D26"/>
    </sheetView>
  </sheetViews>
  <sheetFormatPr baseColWidth="10" defaultRowHeight="15" x14ac:dyDescent="0.25"/>
  <cols>
    <col min="1" max="1" width="32.5703125" customWidth="1"/>
  </cols>
  <sheetData>
    <row r="1" spans="1:4" x14ac:dyDescent="0.25">
      <c r="A1" s="8" t="s">
        <v>84</v>
      </c>
      <c r="B1" s="12"/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71</v>
      </c>
      <c r="B4" s="3">
        <v>5980</v>
      </c>
      <c r="C4" s="3" t="s">
        <v>28</v>
      </c>
      <c r="D4" s="2">
        <f>B4*0.62</f>
        <v>3707.6</v>
      </c>
    </row>
    <row r="5" spans="1:4" x14ac:dyDescent="0.25">
      <c r="A5" s="1" t="s">
        <v>60</v>
      </c>
      <c r="B5" s="3">
        <v>3140</v>
      </c>
      <c r="C5" s="3" t="s">
        <v>28</v>
      </c>
      <c r="D5" s="2">
        <f>B5*0.45</f>
        <v>1413</v>
      </c>
    </row>
    <row r="6" spans="1:4" x14ac:dyDescent="0.25">
      <c r="A6" s="1" t="s">
        <v>14</v>
      </c>
      <c r="B6" s="3">
        <v>43</v>
      </c>
      <c r="C6" s="3" t="s">
        <v>25</v>
      </c>
      <c r="D6" s="2">
        <f>0.24*B6</f>
        <v>10.32</v>
      </c>
    </row>
    <row r="7" spans="1:4" x14ac:dyDescent="0.25">
      <c r="A7" s="1" t="s">
        <v>5</v>
      </c>
      <c r="B7" s="3">
        <v>62</v>
      </c>
      <c r="C7" s="3" t="s">
        <v>25</v>
      </c>
      <c r="D7" s="2">
        <f>1.4*B7</f>
        <v>86.8</v>
      </c>
    </row>
    <row r="8" spans="1:4" x14ac:dyDescent="0.25">
      <c r="A8" s="1" t="s">
        <v>6</v>
      </c>
      <c r="B8" s="3">
        <v>15</v>
      </c>
      <c r="C8" s="3" t="s">
        <v>25</v>
      </c>
      <c r="D8" s="2">
        <f>B8*1.8</f>
        <v>27</v>
      </c>
    </row>
    <row r="9" spans="1:4" x14ac:dyDescent="0.25">
      <c r="A9" s="1" t="s">
        <v>7</v>
      </c>
      <c r="B9" s="3">
        <v>3</v>
      </c>
      <c r="C9" s="3" t="s">
        <v>26</v>
      </c>
      <c r="D9" s="2">
        <f>20.6*B9</f>
        <v>61.800000000000004</v>
      </c>
    </row>
    <row r="10" spans="1:4" x14ac:dyDescent="0.25">
      <c r="A10" s="1" t="s">
        <v>8</v>
      </c>
      <c r="B10" s="3">
        <v>161</v>
      </c>
      <c r="C10" s="3" t="s">
        <v>25</v>
      </c>
      <c r="D10" s="2">
        <f>B10*0.2</f>
        <v>32.200000000000003</v>
      </c>
    </row>
    <row r="11" spans="1:4" x14ac:dyDescent="0.25">
      <c r="A11" s="1" t="s">
        <v>9</v>
      </c>
      <c r="B11" s="3">
        <v>2</v>
      </c>
      <c r="C11" s="3" t="s">
        <v>26</v>
      </c>
      <c r="D11" s="2">
        <f>16.95*B11</f>
        <v>33.9</v>
      </c>
    </row>
    <row r="12" spans="1:4" x14ac:dyDescent="0.25">
      <c r="A12" s="1" t="s">
        <v>10</v>
      </c>
      <c r="B12" s="3">
        <v>54</v>
      </c>
      <c r="C12" s="3" t="s">
        <v>25</v>
      </c>
      <c r="D12" s="2">
        <f>0.18*B12</f>
        <v>9.7199999999999989</v>
      </c>
    </row>
    <row r="13" spans="1:4" x14ac:dyDescent="0.25">
      <c r="A13" s="1" t="s">
        <v>11</v>
      </c>
      <c r="B13" s="3">
        <v>51</v>
      </c>
      <c r="C13" s="3" t="s">
        <v>25</v>
      </c>
      <c r="D13" s="2">
        <f>0.85*B13</f>
        <v>43.35</v>
      </c>
    </row>
    <row r="14" spans="1:4" x14ac:dyDescent="0.25">
      <c r="A14" s="1" t="s">
        <v>83</v>
      </c>
      <c r="B14" s="3">
        <v>16</v>
      </c>
      <c r="C14" s="3" t="s">
        <v>25</v>
      </c>
      <c r="D14" s="2">
        <f>15.5*B14</f>
        <v>248</v>
      </c>
    </row>
    <row r="15" spans="1:4" x14ac:dyDescent="0.25">
      <c r="A15" s="1" t="s">
        <v>12</v>
      </c>
      <c r="B15" s="3">
        <v>1</v>
      </c>
      <c r="C15" s="3" t="s">
        <v>25</v>
      </c>
      <c r="D15" s="2">
        <f>5.9*B15</f>
        <v>5.9</v>
      </c>
    </row>
    <row r="16" spans="1:4" x14ac:dyDescent="0.25">
      <c r="A16" s="1" t="s">
        <v>15</v>
      </c>
      <c r="B16" s="3">
        <v>168</v>
      </c>
      <c r="C16" s="3" t="s">
        <v>25</v>
      </c>
      <c r="D16" s="2">
        <f>B16*3.8</f>
        <v>638.4</v>
      </c>
    </row>
    <row r="17" spans="1:4" x14ac:dyDescent="0.25">
      <c r="A17" s="1" t="s">
        <v>30</v>
      </c>
      <c r="B17" s="3">
        <v>33</v>
      </c>
      <c r="C17" s="3" t="s">
        <v>25</v>
      </c>
      <c r="D17" s="2">
        <f>B17*3.66</f>
        <v>120.78</v>
      </c>
    </row>
    <row r="18" spans="1:4" x14ac:dyDescent="0.25">
      <c r="A18" s="1" t="s">
        <v>31</v>
      </c>
      <c r="B18" s="3">
        <v>396</v>
      </c>
      <c r="C18" s="3" t="s">
        <v>25</v>
      </c>
      <c r="D18" s="2">
        <f>0.06*B18</f>
        <v>23.759999999999998</v>
      </c>
    </row>
    <row r="19" spans="1:4" x14ac:dyDescent="0.25">
      <c r="A19" s="14" t="s">
        <v>18</v>
      </c>
      <c r="B19" s="14"/>
      <c r="C19" s="14"/>
      <c r="D19" s="4">
        <f>SUM(D4:D18)</f>
        <v>6462.53</v>
      </c>
    </row>
    <row r="21" spans="1:4" x14ac:dyDescent="0.25">
      <c r="A21" s="1" t="s">
        <v>19</v>
      </c>
      <c r="B21" s="5">
        <v>10</v>
      </c>
    </row>
    <row r="22" spans="1:4" x14ac:dyDescent="0.25">
      <c r="A22" s="1" t="s">
        <v>20</v>
      </c>
      <c r="B22" s="10">
        <f>(B14)*8</f>
        <v>128</v>
      </c>
    </row>
    <row r="23" spans="1:4" x14ac:dyDescent="0.25">
      <c r="A23" s="1" t="s">
        <v>21</v>
      </c>
      <c r="B23" s="11">
        <f>(B14)*16</f>
        <v>256</v>
      </c>
    </row>
    <row r="24" spans="1:4" x14ac:dyDescent="0.25">
      <c r="A24" s="1" t="s">
        <v>22</v>
      </c>
      <c r="B24" s="16">
        <f>450/B25*B21</f>
        <v>750</v>
      </c>
    </row>
    <row r="25" spans="1:4" x14ac:dyDescent="0.25">
      <c r="A25" s="1" t="s">
        <v>23</v>
      </c>
      <c r="B25" s="1">
        <v>6</v>
      </c>
    </row>
    <row r="26" spans="1:4" x14ac:dyDescent="0.25">
      <c r="A26" s="1" t="s">
        <v>24</v>
      </c>
      <c r="B26" s="17">
        <f>D19+B24</f>
        <v>7212.53</v>
      </c>
    </row>
  </sheetData>
  <mergeCells count="2">
    <mergeCell ref="A2:D2"/>
    <mergeCell ref="A19:C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8598E-4F71-418C-A3AE-351850DE5401}">
  <dimension ref="A1:D32"/>
  <sheetViews>
    <sheetView topLeftCell="A13" workbookViewId="0">
      <selection activeCell="A27" sqref="A27:B32"/>
    </sheetView>
  </sheetViews>
  <sheetFormatPr baseColWidth="10" defaultRowHeight="15" x14ac:dyDescent="0.25"/>
  <cols>
    <col min="1" max="1" width="31" customWidth="1"/>
  </cols>
  <sheetData>
    <row r="1" spans="1:4" x14ac:dyDescent="0.25">
      <c r="A1" s="8" t="s">
        <v>85</v>
      </c>
      <c r="B1" s="12"/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72</v>
      </c>
      <c r="B4" s="3">
        <v>1910</v>
      </c>
      <c r="C4" s="3" t="s">
        <v>28</v>
      </c>
      <c r="D4" s="2">
        <f>B4*0.3</f>
        <v>573</v>
      </c>
    </row>
    <row r="5" spans="1:4" x14ac:dyDescent="0.25">
      <c r="A5" s="1" t="s">
        <v>60</v>
      </c>
      <c r="B5" s="3">
        <v>11489</v>
      </c>
      <c r="C5" s="3" t="s">
        <v>28</v>
      </c>
      <c r="D5" s="2">
        <f>B5*0.57</f>
        <v>6548.73</v>
      </c>
    </row>
    <row r="6" spans="1:4" x14ac:dyDescent="0.25">
      <c r="A6" s="1" t="s">
        <v>62</v>
      </c>
      <c r="B6" s="3">
        <v>1988</v>
      </c>
      <c r="C6" s="3" t="s">
        <v>28</v>
      </c>
      <c r="D6" s="2">
        <f>B6*0.305</f>
        <v>606.34</v>
      </c>
    </row>
    <row r="7" spans="1:4" x14ac:dyDescent="0.25">
      <c r="A7" s="1" t="s">
        <v>76</v>
      </c>
      <c r="B7" s="3"/>
      <c r="C7" s="3" t="s">
        <v>28</v>
      </c>
      <c r="D7" s="2">
        <f>B7*0.45</f>
        <v>0</v>
      </c>
    </row>
    <row r="8" spans="1:4" x14ac:dyDescent="0.25">
      <c r="A8" s="1" t="s">
        <v>14</v>
      </c>
      <c r="B8" s="3">
        <v>178</v>
      </c>
      <c r="C8" s="3" t="s">
        <v>25</v>
      </c>
      <c r="D8" s="2">
        <f>0.24*B8</f>
        <v>42.72</v>
      </c>
    </row>
    <row r="9" spans="1:4" x14ac:dyDescent="0.25">
      <c r="A9" s="1" t="s">
        <v>5</v>
      </c>
      <c r="B9" s="3">
        <v>93</v>
      </c>
      <c r="C9" s="3" t="s">
        <v>25</v>
      </c>
      <c r="D9" s="2">
        <f>1.3*B9</f>
        <v>120.9</v>
      </c>
    </row>
    <row r="10" spans="1:4" x14ac:dyDescent="0.25">
      <c r="A10" s="1" t="s">
        <v>6</v>
      </c>
      <c r="B10" s="3">
        <v>19</v>
      </c>
      <c r="C10" s="3" t="s">
        <v>25</v>
      </c>
      <c r="D10" s="2">
        <f>B10*1.8</f>
        <v>34.200000000000003</v>
      </c>
    </row>
    <row r="11" spans="1:4" x14ac:dyDescent="0.25">
      <c r="A11" s="1" t="s">
        <v>7</v>
      </c>
      <c r="B11" s="3">
        <v>5</v>
      </c>
      <c r="C11" s="3" t="s">
        <v>26</v>
      </c>
      <c r="D11" s="2">
        <f>18.6*B11</f>
        <v>93</v>
      </c>
    </row>
    <row r="12" spans="1:4" x14ac:dyDescent="0.25">
      <c r="A12" s="1" t="s">
        <v>8</v>
      </c>
      <c r="B12" s="3">
        <v>270</v>
      </c>
      <c r="C12" s="3" t="s">
        <v>25</v>
      </c>
      <c r="D12" s="2">
        <f>B12*0.18</f>
        <v>48.6</v>
      </c>
    </row>
    <row r="13" spans="1:4" x14ac:dyDescent="0.25">
      <c r="A13" s="1" t="s">
        <v>9</v>
      </c>
      <c r="B13" s="3">
        <v>1.5</v>
      </c>
      <c r="C13" s="3" t="s">
        <v>26</v>
      </c>
      <c r="D13" s="2">
        <f>16.95*B13</f>
        <v>25.424999999999997</v>
      </c>
    </row>
    <row r="14" spans="1:4" x14ac:dyDescent="0.25">
      <c r="A14" s="1" t="s">
        <v>10</v>
      </c>
      <c r="B14" s="3">
        <v>74</v>
      </c>
      <c r="C14" s="3" t="s">
        <v>25</v>
      </c>
      <c r="D14" s="2">
        <f>0.18*B14</f>
        <v>13.32</v>
      </c>
    </row>
    <row r="15" spans="1:4" x14ac:dyDescent="0.25">
      <c r="A15" s="1" t="s">
        <v>11</v>
      </c>
      <c r="B15" s="3">
        <v>80</v>
      </c>
      <c r="C15" s="3" t="s">
        <v>25</v>
      </c>
      <c r="D15" s="2">
        <f>0.781*B15</f>
        <v>62.480000000000004</v>
      </c>
    </row>
    <row r="16" spans="1:4" x14ac:dyDescent="0.25">
      <c r="A16" s="1" t="s">
        <v>33</v>
      </c>
      <c r="B16" s="3">
        <v>30</v>
      </c>
      <c r="C16" s="3" t="s">
        <v>25</v>
      </c>
      <c r="D16" s="2">
        <f>17*B16</f>
        <v>510</v>
      </c>
    </row>
    <row r="17" spans="1:4" x14ac:dyDescent="0.25">
      <c r="A17" s="1" t="s">
        <v>12</v>
      </c>
      <c r="B17" s="3">
        <v>13</v>
      </c>
      <c r="C17" s="3" t="s">
        <v>25</v>
      </c>
      <c r="D17" s="2">
        <f>9.4*B17</f>
        <v>122.2</v>
      </c>
    </row>
    <row r="18" spans="1:4" x14ac:dyDescent="0.25">
      <c r="A18" s="1" t="s">
        <v>70</v>
      </c>
      <c r="B18" s="3">
        <v>3</v>
      </c>
      <c r="C18" s="3" t="s">
        <v>25</v>
      </c>
      <c r="D18" s="2">
        <f>B18*11</f>
        <v>33</v>
      </c>
    </row>
    <row r="19" spans="1:4" x14ac:dyDescent="0.25">
      <c r="A19" s="1" t="s">
        <v>35</v>
      </c>
      <c r="B19" s="3">
        <v>4</v>
      </c>
      <c r="C19" s="3" t="s">
        <v>25</v>
      </c>
      <c r="D19" s="2">
        <f>B19*50</f>
        <v>200</v>
      </c>
    </row>
    <row r="20" spans="1:4" x14ac:dyDescent="0.25">
      <c r="A20" s="1" t="s">
        <v>13</v>
      </c>
      <c r="B20" s="3">
        <v>3</v>
      </c>
      <c r="C20" s="3" t="s">
        <v>25</v>
      </c>
      <c r="D20" s="2">
        <f>44*B20</f>
        <v>132</v>
      </c>
    </row>
    <row r="21" spans="1:4" x14ac:dyDescent="0.25">
      <c r="A21" s="1" t="s">
        <v>30</v>
      </c>
      <c r="B21" s="3">
        <v>188</v>
      </c>
      <c r="C21" s="3" t="s">
        <v>25</v>
      </c>
      <c r="D21" s="2">
        <f>B21*3.75</f>
        <v>705</v>
      </c>
    </row>
    <row r="22" spans="1:4" x14ac:dyDescent="0.25">
      <c r="A22" s="1" t="s">
        <v>15</v>
      </c>
      <c r="B22" s="3">
        <v>83</v>
      </c>
      <c r="C22" s="3" t="s">
        <v>25</v>
      </c>
      <c r="D22" s="2">
        <f>B22*3.7</f>
        <v>307.10000000000002</v>
      </c>
    </row>
    <row r="23" spans="1:4" x14ac:dyDescent="0.25">
      <c r="A23" s="1" t="s">
        <v>16</v>
      </c>
      <c r="B23" s="3">
        <v>44</v>
      </c>
      <c r="C23" s="3" t="s">
        <v>25</v>
      </c>
      <c r="D23" s="2">
        <f>2.5*B23</f>
        <v>110</v>
      </c>
    </row>
    <row r="24" spans="1:4" x14ac:dyDescent="0.25">
      <c r="A24" s="1" t="s">
        <v>31</v>
      </c>
      <c r="B24" s="3">
        <v>943</v>
      </c>
      <c r="C24" s="3" t="s">
        <v>25</v>
      </c>
      <c r="D24" s="2">
        <f>0.05*B24</f>
        <v>47.150000000000006</v>
      </c>
    </row>
    <row r="25" spans="1:4" x14ac:dyDescent="0.25">
      <c r="A25" s="14" t="s">
        <v>18</v>
      </c>
      <c r="B25" s="14"/>
      <c r="C25" s="14"/>
      <c r="D25" s="4">
        <f>SUM(D4:D24)</f>
        <v>10335.165000000001</v>
      </c>
    </row>
    <row r="27" spans="1:4" x14ac:dyDescent="0.25">
      <c r="A27" s="1" t="s">
        <v>19</v>
      </c>
      <c r="B27" s="5">
        <v>30</v>
      </c>
    </row>
    <row r="28" spans="1:4" x14ac:dyDescent="0.25">
      <c r="A28" s="1" t="s">
        <v>20</v>
      </c>
      <c r="B28" s="10">
        <f>(B16)*8</f>
        <v>240</v>
      </c>
    </row>
    <row r="29" spans="1:4" x14ac:dyDescent="0.25">
      <c r="A29" s="1" t="s">
        <v>21</v>
      </c>
      <c r="B29" s="11">
        <f>(B16)*16</f>
        <v>480</v>
      </c>
    </row>
    <row r="30" spans="1:4" x14ac:dyDescent="0.25">
      <c r="A30" s="1" t="s">
        <v>22</v>
      </c>
      <c r="B30" s="16">
        <f>450/B31*B27</f>
        <v>2250</v>
      </c>
    </row>
    <row r="31" spans="1:4" x14ac:dyDescent="0.25">
      <c r="A31" s="1" t="s">
        <v>23</v>
      </c>
      <c r="B31" s="1">
        <v>6</v>
      </c>
    </row>
    <row r="32" spans="1:4" x14ac:dyDescent="0.25">
      <c r="A32" s="1" t="s">
        <v>24</v>
      </c>
      <c r="B32" s="17">
        <f>D25+B30</f>
        <v>12585.165000000001</v>
      </c>
    </row>
  </sheetData>
  <mergeCells count="2">
    <mergeCell ref="A2:D2"/>
    <mergeCell ref="A25:C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94668-7889-494A-9482-EF4A2FDFC0BC}">
  <dimension ref="A1:D23"/>
  <sheetViews>
    <sheetView tabSelected="1" topLeftCell="A4" workbookViewId="0">
      <selection activeCell="A18" sqref="A18:B23"/>
    </sheetView>
  </sheetViews>
  <sheetFormatPr baseColWidth="10" defaultRowHeight="15" x14ac:dyDescent="0.25"/>
  <cols>
    <col min="1" max="1" width="33.140625" customWidth="1"/>
  </cols>
  <sheetData>
    <row r="1" spans="1:4" x14ac:dyDescent="0.25">
      <c r="A1" s="8" t="s">
        <v>86</v>
      </c>
      <c r="B1" s="12"/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72</v>
      </c>
      <c r="B4" s="3">
        <v>1487</v>
      </c>
      <c r="C4" s="3" t="s">
        <v>28</v>
      </c>
      <c r="D4" s="2">
        <f>B4*0.28</f>
        <v>416.36</v>
      </c>
    </row>
    <row r="5" spans="1:4" x14ac:dyDescent="0.25">
      <c r="A5" s="1" t="s">
        <v>14</v>
      </c>
      <c r="B5" s="3">
        <v>8</v>
      </c>
      <c r="C5" s="3" t="s">
        <v>25</v>
      </c>
      <c r="D5" s="2">
        <f>0.24*B5</f>
        <v>1.92</v>
      </c>
    </row>
    <row r="6" spans="1:4" x14ac:dyDescent="0.25">
      <c r="A6" s="1" t="s">
        <v>7</v>
      </c>
      <c r="B6" s="3">
        <v>1</v>
      </c>
      <c r="C6" s="3" t="s">
        <v>26</v>
      </c>
      <c r="D6" s="2">
        <f>18.6*B6</f>
        <v>18.600000000000001</v>
      </c>
    </row>
    <row r="7" spans="1:4" x14ac:dyDescent="0.25">
      <c r="A7" s="1" t="s">
        <v>8</v>
      </c>
      <c r="B7" s="3">
        <v>4</v>
      </c>
      <c r="C7" s="3" t="s">
        <v>25</v>
      </c>
      <c r="D7" s="2">
        <f>B7*0.18</f>
        <v>0.72</v>
      </c>
    </row>
    <row r="8" spans="1:4" x14ac:dyDescent="0.25">
      <c r="A8" s="1" t="s">
        <v>9</v>
      </c>
      <c r="B8" s="3">
        <v>1</v>
      </c>
      <c r="C8" s="3" t="s">
        <v>26</v>
      </c>
      <c r="D8" s="2">
        <f>16.95*B8</f>
        <v>16.95</v>
      </c>
    </row>
    <row r="9" spans="1:4" x14ac:dyDescent="0.25">
      <c r="A9" s="1" t="s">
        <v>10</v>
      </c>
      <c r="B9" s="3">
        <v>20</v>
      </c>
      <c r="C9" s="3" t="s">
        <v>25</v>
      </c>
      <c r="D9" s="2">
        <f>0.18*B9</f>
        <v>3.5999999999999996</v>
      </c>
    </row>
    <row r="10" spans="1:4" x14ac:dyDescent="0.25">
      <c r="A10" s="1" t="s">
        <v>11</v>
      </c>
      <c r="B10" s="3">
        <v>18</v>
      </c>
      <c r="C10" s="3" t="s">
        <v>25</v>
      </c>
      <c r="D10" s="2">
        <f>0.781*B10</f>
        <v>14.058</v>
      </c>
    </row>
    <row r="11" spans="1:4" x14ac:dyDescent="0.25">
      <c r="A11" s="1" t="s">
        <v>33</v>
      </c>
      <c r="B11" s="3">
        <v>5</v>
      </c>
      <c r="C11" s="3" t="s">
        <v>25</v>
      </c>
      <c r="D11" s="2">
        <f>13*B11</f>
        <v>65</v>
      </c>
    </row>
    <row r="12" spans="1:4" x14ac:dyDescent="0.25">
      <c r="A12" s="1" t="s">
        <v>12</v>
      </c>
      <c r="B12" s="3">
        <v>13</v>
      </c>
      <c r="C12" s="3" t="s">
        <v>25</v>
      </c>
      <c r="D12" s="2">
        <f>9.4*B12</f>
        <v>122.2</v>
      </c>
    </row>
    <row r="13" spans="1:4" x14ac:dyDescent="0.25">
      <c r="A13" s="1" t="s">
        <v>35</v>
      </c>
      <c r="B13" s="3">
        <v>1</v>
      </c>
      <c r="C13" s="3" t="s">
        <v>25</v>
      </c>
      <c r="D13" s="2">
        <f>B13*50</f>
        <v>50</v>
      </c>
    </row>
    <row r="14" spans="1:4" x14ac:dyDescent="0.25">
      <c r="A14" s="1" t="s">
        <v>16</v>
      </c>
      <c r="B14" s="3">
        <v>52</v>
      </c>
      <c r="C14" s="3" t="s">
        <v>25</v>
      </c>
      <c r="D14" s="2">
        <f>1.8*B14</f>
        <v>93.600000000000009</v>
      </c>
    </row>
    <row r="15" spans="1:4" x14ac:dyDescent="0.25">
      <c r="A15" s="1" t="s">
        <v>31</v>
      </c>
      <c r="B15" s="3">
        <v>177</v>
      </c>
      <c r="C15" s="3" t="s">
        <v>25</v>
      </c>
      <c r="D15" s="2">
        <f>0.05*B15</f>
        <v>8.85</v>
      </c>
    </row>
    <row r="16" spans="1:4" x14ac:dyDescent="0.25">
      <c r="A16" s="14" t="s">
        <v>18</v>
      </c>
      <c r="B16" s="14"/>
      <c r="C16" s="14"/>
      <c r="D16" s="4">
        <f>SUM(D4:D15)</f>
        <v>811.85800000000017</v>
      </c>
    </row>
    <row r="18" spans="1:2" x14ac:dyDescent="0.25">
      <c r="A18" s="1" t="s">
        <v>19</v>
      </c>
      <c r="B18" s="5">
        <v>7</v>
      </c>
    </row>
    <row r="19" spans="1:2" x14ac:dyDescent="0.25">
      <c r="A19" s="1" t="s">
        <v>20</v>
      </c>
      <c r="B19" s="10">
        <f>(B11)*8</f>
        <v>40</v>
      </c>
    </row>
    <row r="20" spans="1:2" x14ac:dyDescent="0.25">
      <c r="A20" s="1" t="s">
        <v>21</v>
      </c>
      <c r="B20" s="11">
        <f>(B11)*16</f>
        <v>80</v>
      </c>
    </row>
    <row r="21" spans="1:2" x14ac:dyDescent="0.25">
      <c r="A21" s="1" t="s">
        <v>22</v>
      </c>
      <c r="B21" s="16">
        <f>450/B22*B18</f>
        <v>525</v>
      </c>
    </row>
    <row r="22" spans="1:2" x14ac:dyDescent="0.25">
      <c r="A22" s="1" t="s">
        <v>23</v>
      </c>
      <c r="B22" s="1">
        <v>6</v>
      </c>
    </row>
    <row r="23" spans="1:2" x14ac:dyDescent="0.25">
      <c r="A23" s="1" t="s">
        <v>24</v>
      </c>
      <c r="B23" s="17">
        <f>D16+B21</f>
        <v>1336.8580000000002</v>
      </c>
    </row>
  </sheetData>
  <mergeCells count="2">
    <mergeCell ref="A2:D2"/>
    <mergeCell ref="A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topLeftCell="A16" workbookViewId="0">
      <selection activeCell="G29" sqref="G29"/>
    </sheetView>
  </sheetViews>
  <sheetFormatPr baseColWidth="10" defaultRowHeight="15" x14ac:dyDescent="0.25"/>
  <cols>
    <col min="1" max="1" width="38.28515625" customWidth="1"/>
    <col min="2" max="2" width="13.28515625" customWidth="1"/>
  </cols>
  <sheetData>
    <row r="1" spans="1:4" x14ac:dyDescent="0.25">
      <c r="A1" s="8" t="s">
        <v>41</v>
      </c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55</v>
      </c>
      <c r="B4" s="3">
        <v>1456</v>
      </c>
      <c r="C4" s="3" t="s">
        <v>28</v>
      </c>
      <c r="D4" s="2">
        <f>B4*0.3</f>
        <v>436.8</v>
      </c>
    </row>
    <row r="5" spans="1:4" x14ac:dyDescent="0.25">
      <c r="A5" s="1" t="s">
        <v>57</v>
      </c>
      <c r="B5" s="3">
        <v>2000</v>
      </c>
      <c r="C5" s="3" t="s">
        <v>28</v>
      </c>
      <c r="D5" s="2">
        <f>0.61*B5</f>
        <v>1220</v>
      </c>
    </row>
    <row r="6" spans="1:4" x14ac:dyDescent="0.25">
      <c r="A6" s="1" t="s">
        <v>56</v>
      </c>
      <c r="B6" s="3">
        <v>2210</v>
      </c>
      <c r="C6" s="3" t="s">
        <v>28</v>
      </c>
      <c r="D6" s="2">
        <f>B6*0.75</f>
        <v>1657.5</v>
      </c>
    </row>
    <row r="7" spans="1:4" x14ac:dyDescent="0.25">
      <c r="A7" s="1" t="s">
        <v>27</v>
      </c>
      <c r="B7" s="3">
        <v>368</v>
      </c>
      <c r="C7" s="3" t="s">
        <v>28</v>
      </c>
      <c r="D7" s="2">
        <f>B7*0.305</f>
        <v>112.24</v>
      </c>
    </row>
    <row r="8" spans="1:4" x14ac:dyDescent="0.25">
      <c r="A8" s="1" t="s">
        <v>42</v>
      </c>
      <c r="B8" s="3">
        <v>4706</v>
      </c>
      <c r="C8" s="3" t="s">
        <v>28</v>
      </c>
      <c r="D8" s="2">
        <f>B8*0.29</f>
        <v>1364.74</v>
      </c>
    </row>
    <row r="9" spans="1:4" x14ac:dyDescent="0.25">
      <c r="A9" s="1" t="s">
        <v>27</v>
      </c>
      <c r="B9" s="3">
        <v>1618</v>
      </c>
      <c r="C9" s="3" t="s">
        <v>28</v>
      </c>
      <c r="D9" s="2">
        <f>0.3*B9</f>
        <v>485.4</v>
      </c>
    </row>
    <row r="10" spans="1:4" x14ac:dyDescent="0.25">
      <c r="A10" s="1" t="s">
        <v>37</v>
      </c>
      <c r="B10" s="3">
        <v>444</v>
      </c>
      <c r="C10" s="3" t="s">
        <v>25</v>
      </c>
      <c r="D10" s="2">
        <f>0.85*B10</f>
        <v>377.4</v>
      </c>
    </row>
    <row r="11" spans="1:4" x14ac:dyDescent="0.25">
      <c r="A11" s="1" t="s">
        <v>5</v>
      </c>
      <c r="B11" s="3">
        <v>61</v>
      </c>
      <c r="C11" s="3" t="s">
        <v>25</v>
      </c>
      <c r="D11" s="2">
        <f>1.8*B11</f>
        <v>109.8</v>
      </c>
    </row>
    <row r="12" spans="1:4" x14ac:dyDescent="0.25">
      <c r="A12" s="1" t="s">
        <v>6</v>
      </c>
      <c r="B12" s="3">
        <v>53</v>
      </c>
      <c r="C12" s="3" t="s">
        <v>25</v>
      </c>
      <c r="D12" s="2">
        <f>B12*1.8</f>
        <v>95.4</v>
      </c>
    </row>
    <row r="13" spans="1:4" x14ac:dyDescent="0.25">
      <c r="A13" s="1" t="s">
        <v>7</v>
      </c>
      <c r="B13" s="3">
        <v>12</v>
      </c>
      <c r="C13" s="3" t="s">
        <v>26</v>
      </c>
      <c r="D13" s="2">
        <f>21.59*B13</f>
        <v>259.08</v>
      </c>
    </row>
    <row r="14" spans="1:4" x14ac:dyDescent="0.25">
      <c r="A14" s="1" t="s">
        <v>8</v>
      </c>
      <c r="B14" s="3">
        <v>408</v>
      </c>
      <c r="C14" s="3" t="s">
        <v>25</v>
      </c>
      <c r="D14" s="2">
        <f>B14*0.2</f>
        <v>81.600000000000009</v>
      </c>
    </row>
    <row r="15" spans="1:4" x14ac:dyDescent="0.25">
      <c r="A15" s="1" t="s">
        <v>9</v>
      </c>
      <c r="B15" s="3">
        <v>9</v>
      </c>
      <c r="C15" s="3" t="s">
        <v>26</v>
      </c>
      <c r="D15" s="2">
        <f>16.62*B15</f>
        <v>149.58000000000001</v>
      </c>
    </row>
    <row r="16" spans="1:4" x14ac:dyDescent="0.25">
      <c r="A16" s="1" t="s">
        <v>10</v>
      </c>
      <c r="B16" s="3">
        <v>106</v>
      </c>
      <c r="C16" s="3" t="s">
        <v>25</v>
      </c>
      <c r="D16" s="2">
        <f>0.17*B16</f>
        <v>18.02</v>
      </c>
    </row>
    <row r="17" spans="1:4" x14ac:dyDescent="0.25">
      <c r="A17" s="1" t="s">
        <v>11</v>
      </c>
      <c r="B17" s="3">
        <v>243</v>
      </c>
      <c r="C17" s="3" t="s">
        <v>25</v>
      </c>
      <c r="D17" s="2">
        <f>0.796*B17</f>
        <v>193.428</v>
      </c>
    </row>
    <row r="18" spans="1:4" x14ac:dyDescent="0.25">
      <c r="A18" s="1" t="s">
        <v>33</v>
      </c>
      <c r="B18" s="3">
        <v>94</v>
      </c>
      <c r="C18" s="3" t="s">
        <v>25</v>
      </c>
      <c r="D18" s="2">
        <f>19.21*B18</f>
        <v>1805.74</v>
      </c>
    </row>
    <row r="19" spans="1:4" x14ac:dyDescent="0.25">
      <c r="A19" s="1" t="s">
        <v>12</v>
      </c>
      <c r="B19" s="3">
        <v>15</v>
      </c>
      <c r="C19" s="3" t="s">
        <v>25</v>
      </c>
      <c r="D19" s="2">
        <f>7.6*B19</f>
        <v>114</v>
      </c>
    </row>
    <row r="20" spans="1:4" x14ac:dyDescent="0.25">
      <c r="A20" s="1" t="s">
        <v>36</v>
      </c>
      <c r="B20" s="3">
        <v>4</v>
      </c>
      <c r="C20" s="3" t="s">
        <v>25</v>
      </c>
      <c r="D20" s="2">
        <f>10.5*B20</f>
        <v>42</v>
      </c>
    </row>
    <row r="21" spans="1:4" x14ac:dyDescent="0.25">
      <c r="A21" s="1" t="s">
        <v>35</v>
      </c>
      <c r="B21" s="3">
        <v>3</v>
      </c>
      <c r="C21" s="3" t="s">
        <v>25</v>
      </c>
      <c r="D21" s="2">
        <f>55*B21</f>
        <v>165</v>
      </c>
    </row>
    <row r="22" spans="1:4" x14ac:dyDescent="0.25">
      <c r="A22" s="1" t="s">
        <v>13</v>
      </c>
      <c r="B22" s="3">
        <v>5</v>
      </c>
      <c r="C22" s="3" t="s">
        <v>25</v>
      </c>
      <c r="D22" s="2">
        <f>50*B22</f>
        <v>250</v>
      </c>
    </row>
    <row r="23" spans="1:4" x14ac:dyDescent="0.25">
      <c r="A23" s="1" t="s">
        <v>14</v>
      </c>
      <c r="B23" s="3">
        <v>561</v>
      </c>
      <c r="C23" s="3" t="s">
        <v>25</v>
      </c>
      <c r="D23" s="2">
        <f>0.23*B23</f>
        <v>129.03</v>
      </c>
    </row>
    <row r="24" spans="1:4" x14ac:dyDescent="0.25">
      <c r="A24" s="1" t="s">
        <v>30</v>
      </c>
      <c r="B24" s="3">
        <v>52</v>
      </c>
      <c r="C24" s="3" t="s">
        <v>25</v>
      </c>
      <c r="D24" s="2">
        <f>B24*3.81</f>
        <v>198.12</v>
      </c>
    </row>
    <row r="25" spans="1:4" x14ac:dyDescent="0.25">
      <c r="A25" s="1" t="s">
        <v>15</v>
      </c>
      <c r="B25" s="3">
        <v>188</v>
      </c>
      <c r="C25" s="3" t="s">
        <v>25</v>
      </c>
      <c r="D25" s="2">
        <f>3.36*B25</f>
        <v>631.67999999999995</v>
      </c>
    </row>
    <row r="26" spans="1:4" x14ac:dyDescent="0.25">
      <c r="A26" s="1" t="s">
        <v>40</v>
      </c>
      <c r="B26" s="3">
        <v>42</v>
      </c>
      <c r="C26" s="3" t="s">
        <v>25</v>
      </c>
      <c r="D26" s="2">
        <f>3.41*B26</f>
        <v>143.22</v>
      </c>
    </row>
    <row r="27" spans="1:4" x14ac:dyDescent="0.25">
      <c r="A27" s="1" t="s">
        <v>16</v>
      </c>
      <c r="B27" s="3">
        <v>1169</v>
      </c>
      <c r="C27" s="3" t="s">
        <v>25</v>
      </c>
      <c r="D27" s="2">
        <f>0.07*B27</f>
        <v>81.830000000000013</v>
      </c>
    </row>
    <row r="28" spans="1:4" x14ac:dyDescent="0.25">
      <c r="A28" s="1" t="s">
        <v>31</v>
      </c>
      <c r="B28" s="3">
        <v>226</v>
      </c>
      <c r="C28" s="3" t="s">
        <v>25</v>
      </c>
      <c r="D28" s="2">
        <f>0.068*B28</f>
        <v>15.368</v>
      </c>
    </row>
    <row r="29" spans="1:4" x14ac:dyDescent="0.25">
      <c r="A29" s="1" t="s">
        <v>43</v>
      </c>
      <c r="B29" s="3">
        <v>85</v>
      </c>
      <c r="C29" s="3" t="s">
        <v>44</v>
      </c>
      <c r="D29" s="2">
        <f>42.7*B29</f>
        <v>3629.5000000000005</v>
      </c>
    </row>
    <row r="30" spans="1:4" x14ac:dyDescent="0.25">
      <c r="A30" s="1" t="s">
        <v>45</v>
      </c>
      <c r="B30" s="3">
        <v>103</v>
      </c>
      <c r="C30" s="3" t="s">
        <v>25</v>
      </c>
      <c r="D30" s="2">
        <v>1140</v>
      </c>
    </row>
    <row r="31" spans="1:4" x14ac:dyDescent="0.25">
      <c r="A31" s="14" t="s">
        <v>18</v>
      </c>
      <c r="B31" s="14"/>
      <c r="C31" s="14"/>
      <c r="D31" s="4">
        <f>SUM(D4:D30)</f>
        <v>14906.476000000001</v>
      </c>
    </row>
    <row r="33" spans="1:6" x14ac:dyDescent="0.25">
      <c r="A33" s="1" t="s">
        <v>19</v>
      </c>
      <c r="B33" s="5">
        <v>45</v>
      </c>
      <c r="F33" s="9"/>
    </row>
    <row r="34" spans="1:6" x14ac:dyDescent="0.25">
      <c r="A34" s="1" t="s">
        <v>20</v>
      </c>
      <c r="B34" s="10">
        <f>(B18)*8</f>
        <v>752</v>
      </c>
    </row>
    <row r="35" spans="1:6" x14ac:dyDescent="0.25">
      <c r="A35" s="1" t="s">
        <v>21</v>
      </c>
      <c r="B35" s="11">
        <f>(B18)*16</f>
        <v>1504</v>
      </c>
    </row>
    <row r="36" spans="1:6" x14ac:dyDescent="0.25">
      <c r="A36" s="1" t="s">
        <v>22</v>
      </c>
      <c r="B36" s="1">
        <f>450/B37*B33</f>
        <v>3375</v>
      </c>
    </row>
    <row r="37" spans="1:6" x14ac:dyDescent="0.25">
      <c r="A37" s="1" t="s">
        <v>23</v>
      </c>
      <c r="B37" s="1">
        <v>6</v>
      </c>
    </row>
    <row r="38" spans="1:6" x14ac:dyDescent="0.25">
      <c r="A38" s="1" t="s">
        <v>24</v>
      </c>
      <c r="B38" s="7">
        <f>D31+B36</f>
        <v>18281.476000000002</v>
      </c>
    </row>
  </sheetData>
  <mergeCells count="2">
    <mergeCell ref="A2:D2"/>
    <mergeCell ref="A31:C31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workbookViewId="0">
      <selection sqref="A1:D35"/>
    </sheetView>
  </sheetViews>
  <sheetFormatPr baseColWidth="10" defaultRowHeight="15" x14ac:dyDescent="0.25"/>
  <cols>
    <col min="1" max="1" width="38.28515625" customWidth="1"/>
  </cols>
  <sheetData>
    <row r="1" spans="1:4" x14ac:dyDescent="0.25">
      <c r="A1" s="8" t="s">
        <v>49</v>
      </c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48</v>
      </c>
      <c r="B4" s="3">
        <v>433</v>
      </c>
      <c r="C4" s="3" t="s">
        <v>28</v>
      </c>
      <c r="D4" s="2">
        <f>B4*0.45</f>
        <v>194.85</v>
      </c>
    </row>
    <row r="5" spans="1:4" x14ac:dyDescent="0.25">
      <c r="A5" s="1" t="s">
        <v>61</v>
      </c>
      <c r="B5" s="3">
        <v>2220</v>
      </c>
      <c r="C5" s="3" t="s">
        <v>28</v>
      </c>
      <c r="D5" s="2">
        <f>B5*0.53</f>
        <v>1176.6000000000001</v>
      </c>
    </row>
    <row r="6" spans="1:4" x14ac:dyDescent="0.25">
      <c r="A6" s="1" t="s">
        <v>59</v>
      </c>
      <c r="B6" s="3">
        <v>2667</v>
      </c>
      <c r="C6" s="3" t="s">
        <v>28</v>
      </c>
      <c r="D6" s="2">
        <f>B6*0.45</f>
        <v>1200.1500000000001</v>
      </c>
    </row>
    <row r="7" spans="1:4" x14ac:dyDescent="0.25">
      <c r="A7" s="1" t="s">
        <v>60</v>
      </c>
      <c r="B7" s="3">
        <v>489</v>
      </c>
      <c r="C7" s="3" t="s">
        <v>28</v>
      </c>
      <c r="D7" s="2">
        <f>B7*0.35</f>
        <v>171.14999999999998</v>
      </c>
    </row>
    <row r="8" spans="1:4" x14ac:dyDescent="0.25">
      <c r="A8" s="1" t="s">
        <v>58</v>
      </c>
      <c r="B8" s="3">
        <v>2915</v>
      </c>
      <c r="C8" s="3" t="s">
        <v>28</v>
      </c>
      <c r="D8" s="2">
        <f>B8*0.3</f>
        <v>874.5</v>
      </c>
    </row>
    <row r="9" spans="1:4" x14ac:dyDescent="0.25">
      <c r="A9" s="1" t="s">
        <v>62</v>
      </c>
      <c r="B9" s="3">
        <v>3695</v>
      </c>
      <c r="C9" s="3" t="s">
        <v>28</v>
      </c>
      <c r="D9" s="2">
        <f>B9*0.3</f>
        <v>1108.5</v>
      </c>
    </row>
    <row r="10" spans="1:4" x14ac:dyDescent="0.25">
      <c r="A10" s="1" t="s">
        <v>37</v>
      </c>
      <c r="B10" s="3">
        <v>104</v>
      </c>
      <c r="C10" s="3" t="s">
        <v>25</v>
      </c>
      <c r="D10" s="2">
        <f>0.85*B10</f>
        <v>88.399999999999991</v>
      </c>
    </row>
    <row r="11" spans="1:4" x14ac:dyDescent="0.25">
      <c r="A11" s="1" t="s">
        <v>5</v>
      </c>
      <c r="B11" s="3">
        <v>46</v>
      </c>
      <c r="C11" s="3" t="s">
        <v>25</v>
      </c>
      <c r="D11" s="2">
        <f>1.46*B11</f>
        <v>67.16</v>
      </c>
    </row>
    <row r="12" spans="1:4" x14ac:dyDescent="0.25">
      <c r="A12" s="1" t="s">
        <v>6</v>
      </c>
      <c r="B12" s="3">
        <v>9</v>
      </c>
      <c r="C12" s="3" t="s">
        <v>25</v>
      </c>
      <c r="D12" s="2">
        <f>B12*1.8</f>
        <v>16.2</v>
      </c>
    </row>
    <row r="13" spans="1:4" x14ac:dyDescent="0.25">
      <c r="A13" s="1" t="s">
        <v>7</v>
      </c>
      <c r="B13" s="3">
        <v>5</v>
      </c>
      <c r="C13" s="3" t="s">
        <v>26</v>
      </c>
      <c r="D13" s="2">
        <f>20.6*B13</f>
        <v>103</v>
      </c>
    </row>
    <row r="14" spans="1:4" x14ac:dyDescent="0.25">
      <c r="A14" s="1" t="s">
        <v>8</v>
      </c>
      <c r="B14" s="3">
        <v>209</v>
      </c>
      <c r="C14" s="3" t="s">
        <v>25</v>
      </c>
      <c r="D14" s="2">
        <f>B14*0.2</f>
        <v>41.800000000000004</v>
      </c>
    </row>
    <row r="15" spans="1:4" x14ac:dyDescent="0.25">
      <c r="A15" s="1" t="s">
        <v>9</v>
      </c>
      <c r="B15" s="3">
        <v>1</v>
      </c>
      <c r="C15" s="3" t="s">
        <v>26</v>
      </c>
      <c r="D15" s="2">
        <f>19.16*B15</f>
        <v>19.16</v>
      </c>
    </row>
    <row r="16" spans="1:4" x14ac:dyDescent="0.25">
      <c r="A16" s="1" t="s">
        <v>10</v>
      </c>
      <c r="B16" s="3">
        <v>43</v>
      </c>
      <c r="C16" s="3" t="s">
        <v>25</v>
      </c>
      <c r="D16" s="2">
        <f>0.18*B16</f>
        <v>7.7399999999999993</v>
      </c>
    </row>
    <row r="17" spans="1:4" x14ac:dyDescent="0.25">
      <c r="A17" s="1" t="s">
        <v>11</v>
      </c>
      <c r="B17" s="3">
        <v>38</v>
      </c>
      <c r="C17" s="3" t="s">
        <v>25</v>
      </c>
      <c r="D17" s="2">
        <f>0.796*B17</f>
        <v>30.248000000000001</v>
      </c>
    </row>
    <row r="18" spans="1:4" x14ac:dyDescent="0.25">
      <c r="A18" s="1" t="s">
        <v>33</v>
      </c>
      <c r="B18" s="3">
        <v>18</v>
      </c>
      <c r="C18" s="3" t="s">
        <v>25</v>
      </c>
      <c r="D18" s="2">
        <f>19.21*B18</f>
        <v>345.78000000000003</v>
      </c>
    </row>
    <row r="19" spans="1:4" x14ac:dyDescent="0.25">
      <c r="A19" s="1" t="s">
        <v>12</v>
      </c>
      <c r="B19" s="3">
        <v>1</v>
      </c>
      <c r="C19" s="3" t="s">
        <v>25</v>
      </c>
      <c r="D19" s="2">
        <f>7.9*B19</f>
        <v>7.9</v>
      </c>
    </row>
    <row r="20" spans="1:4" x14ac:dyDescent="0.25">
      <c r="A20" s="1" t="s">
        <v>35</v>
      </c>
      <c r="B20" s="3">
        <v>2</v>
      </c>
      <c r="C20" s="3" t="s">
        <v>25</v>
      </c>
      <c r="D20" s="2">
        <f>B20*39.2</f>
        <v>78.400000000000006</v>
      </c>
    </row>
    <row r="21" spans="1:4" x14ac:dyDescent="0.25">
      <c r="A21" s="1" t="s">
        <v>13</v>
      </c>
      <c r="B21" s="3">
        <v>1</v>
      </c>
      <c r="C21" s="3" t="s">
        <v>25</v>
      </c>
      <c r="D21" s="2">
        <f>50*B21</f>
        <v>50</v>
      </c>
    </row>
    <row r="22" spans="1:4" x14ac:dyDescent="0.25">
      <c r="A22" s="1" t="s">
        <v>14</v>
      </c>
      <c r="B22" s="3">
        <v>93</v>
      </c>
      <c r="C22" s="3" t="s">
        <v>25</v>
      </c>
      <c r="D22" s="2">
        <f>0.25*B22</f>
        <v>23.25</v>
      </c>
    </row>
    <row r="23" spans="1:4" x14ac:dyDescent="0.25">
      <c r="A23" s="1" t="s">
        <v>30</v>
      </c>
      <c r="B23" s="3">
        <v>4</v>
      </c>
      <c r="C23" s="3" t="s">
        <v>25</v>
      </c>
      <c r="D23" s="2">
        <f>B23*3.75</f>
        <v>15</v>
      </c>
    </row>
    <row r="24" spans="1:4" x14ac:dyDescent="0.25">
      <c r="A24" s="1" t="s">
        <v>15</v>
      </c>
      <c r="B24" s="3">
        <v>75</v>
      </c>
      <c r="C24" s="3" t="s">
        <v>25</v>
      </c>
      <c r="D24" s="2">
        <f>3.3*B24</f>
        <v>247.5</v>
      </c>
    </row>
    <row r="25" spans="1:4" x14ac:dyDescent="0.25">
      <c r="A25" s="1" t="s">
        <v>47</v>
      </c>
      <c r="B25" s="3">
        <v>6</v>
      </c>
      <c r="C25" s="3" t="s">
        <v>25</v>
      </c>
      <c r="D25" s="2">
        <f>3.08*B25</f>
        <v>18.48</v>
      </c>
    </row>
    <row r="26" spans="1:4" x14ac:dyDescent="0.25">
      <c r="A26" s="1" t="s">
        <v>16</v>
      </c>
      <c r="B26" s="3">
        <v>12</v>
      </c>
      <c r="C26" s="3" t="s">
        <v>25</v>
      </c>
      <c r="D26" s="2">
        <f>3.3*B26</f>
        <v>39.599999999999994</v>
      </c>
    </row>
    <row r="27" spans="1:4" x14ac:dyDescent="0.25">
      <c r="A27" s="1" t="s">
        <v>31</v>
      </c>
      <c r="B27" s="3">
        <v>290</v>
      </c>
      <c r="C27" s="3" t="s">
        <v>25</v>
      </c>
      <c r="D27" s="2">
        <f>0.04*B27</f>
        <v>11.6</v>
      </c>
    </row>
    <row r="28" spans="1:4" x14ac:dyDescent="0.25">
      <c r="A28" s="14" t="s">
        <v>18</v>
      </c>
      <c r="B28" s="14"/>
      <c r="C28" s="14"/>
      <c r="D28" s="4">
        <f>SUM(D4:D27)</f>
        <v>5936.967999999998</v>
      </c>
    </row>
    <row r="30" spans="1:4" x14ac:dyDescent="0.25">
      <c r="A30" s="1" t="s">
        <v>19</v>
      </c>
      <c r="B30" s="5">
        <v>21</v>
      </c>
    </row>
    <row r="31" spans="1:4" x14ac:dyDescent="0.25">
      <c r="A31" s="1" t="s">
        <v>20</v>
      </c>
      <c r="B31" s="10">
        <f>(B18)*8</f>
        <v>144</v>
      </c>
    </row>
    <row r="32" spans="1:4" x14ac:dyDescent="0.25">
      <c r="A32" s="1" t="s">
        <v>21</v>
      </c>
      <c r="B32" s="11">
        <f>(B18)*16</f>
        <v>288</v>
      </c>
    </row>
    <row r="33" spans="1:2" x14ac:dyDescent="0.25">
      <c r="A33" s="1" t="s">
        <v>22</v>
      </c>
      <c r="B33" s="1">
        <f>450/B34*B30</f>
        <v>1575</v>
      </c>
    </row>
    <row r="34" spans="1:2" x14ac:dyDescent="0.25">
      <c r="A34" s="1" t="s">
        <v>23</v>
      </c>
      <c r="B34" s="1">
        <v>6</v>
      </c>
    </row>
    <row r="35" spans="1:2" x14ac:dyDescent="0.25">
      <c r="A35" s="1" t="s">
        <v>24</v>
      </c>
      <c r="B35" s="7">
        <f>D28+B33</f>
        <v>7511.967999999998</v>
      </c>
    </row>
  </sheetData>
  <mergeCells count="2">
    <mergeCell ref="A2:D2"/>
    <mergeCell ref="A28:C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9"/>
  <sheetViews>
    <sheetView workbookViewId="0">
      <selection activeCell="F35" sqref="F35"/>
    </sheetView>
  </sheetViews>
  <sheetFormatPr baseColWidth="10" defaultRowHeight="15" x14ac:dyDescent="0.25"/>
  <cols>
    <col min="1" max="1" width="39.5703125" customWidth="1"/>
  </cols>
  <sheetData>
    <row r="1" spans="1:4" x14ac:dyDescent="0.25">
      <c r="A1" s="8" t="s">
        <v>50</v>
      </c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51</v>
      </c>
      <c r="B4" s="3">
        <v>7776</v>
      </c>
      <c r="C4" s="3" t="s">
        <v>28</v>
      </c>
      <c r="D4" s="2">
        <f>B4*0.28</f>
        <v>2177.2800000000002</v>
      </c>
    </row>
    <row r="5" spans="1:4" x14ac:dyDescent="0.25">
      <c r="A5" s="1" t="s">
        <v>39</v>
      </c>
      <c r="B5" s="3">
        <v>573</v>
      </c>
      <c r="C5" s="3" t="s">
        <v>28</v>
      </c>
      <c r="D5" s="2">
        <f>B5*0.44</f>
        <v>252.12</v>
      </c>
    </row>
    <row r="6" spans="1:4" x14ac:dyDescent="0.25">
      <c r="A6" s="1" t="s">
        <v>5</v>
      </c>
      <c r="B6" s="3">
        <v>5</v>
      </c>
      <c r="C6" s="3" t="s">
        <v>25</v>
      </c>
      <c r="D6" s="2">
        <f>1.3*B6</f>
        <v>6.5</v>
      </c>
    </row>
    <row r="7" spans="1:4" x14ac:dyDescent="0.25">
      <c r="A7" s="1" t="s">
        <v>7</v>
      </c>
      <c r="B7" s="3">
        <v>3</v>
      </c>
      <c r="C7" s="3" t="s">
        <v>26</v>
      </c>
      <c r="D7" s="2">
        <f>17.5*B7</f>
        <v>52.5</v>
      </c>
    </row>
    <row r="8" spans="1:4" x14ac:dyDescent="0.25">
      <c r="A8" s="1" t="s">
        <v>8</v>
      </c>
      <c r="B8" s="3">
        <v>94</v>
      </c>
      <c r="C8" s="3" t="s">
        <v>25</v>
      </c>
      <c r="D8" s="2">
        <f>B8*0.17</f>
        <v>15.98</v>
      </c>
    </row>
    <row r="9" spans="1:4" x14ac:dyDescent="0.25">
      <c r="A9" s="1" t="s">
        <v>9</v>
      </c>
      <c r="B9" s="3">
        <v>1</v>
      </c>
      <c r="C9" s="3" t="s">
        <v>26</v>
      </c>
      <c r="D9" s="2">
        <f>15*B9</f>
        <v>15</v>
      </c>
    </row>
    <row r="10" spans="1:4" x14ac:dyDescent="0.25">
      <c r="A10" s="1" t="s">
        <v>10</v>
      </c>
      <c r="B10" s="3">
        <v>33</v>
      </c>
      <c r="C10" s="3" t="s">
        <v>25</v>
      </c>
      <c r="D10" s="2">
        <f>0.18*B10</f>
        <v>5.9399999999999995</v>
      </c>
    </row>
    <row r="11" spans="1:4" x14ac:dyDescent="0.25">
      <c r="A11" s="1" t="s">
        <v>11</v>
      </c>
      <c r="B11" s="3">
        <v>33</v>
      </c>
      <c r="C11" s="3" t="s">
        <v>25</v>
      </c>
      <c r="D11" s="2">
        <f>0.796*B11</f>
        <v>26.268000000000001</v>
      </c>
    </row>
    <row r="12" spans="1:4" x14ac:dyDescent="0.25">
      <c r="A12" s="1" t="s">
        <v>33</v>
      </c>
      <c r="B12" s="3">
        <v>11</v>
      </c>
      <c r="C12" s="3" t="s">
        <v>25</v>
      </c>
      <c r="D12" s="2">
        <f>20.6*B12</f>
        <v>226.60000000000002</v>
      </c>
    </row>
    <row r="13" spans="1:4" x14ac:dyDescent="0.25">
      <c r="A13" s="1" t="s">
        <v>63</v>
      </c>
      <c r="B13" s="3">
        <v>2</v>
      </c>
      <c r="C13" s="3" t="s">
        <v>25</v>
      </c>
      <c r="D13" s="2">
        <f>9.5*B13</f>
        <v>19</v>
      </c>
    </row>
    <row r="14" spans="1:4" x14ac:dyDescent="0.25">
      <c r="A14" s="1" t="s">
        <v>12</v>
      </c>
      <c r="B14" s="3">
        <v>3</v>
      </c>
      <c r="C14" s="3" t="s">
        <v>25</v>
      </c>
      <c r="D14" s="2">
        <f>7.9*B14</f>
        <v>23.700000000000003</v>
      </c>
    </row>
    <row r="15" spans="1:4" x14ac:dyDescent="0.25">
      <c r="A15" s="1" t="s">
        <v>36</v>
      </c>
      <c r="B15" s="3">
        <v>1</v>
      </c>
      <c r="C15" s="3" t="s">
        <v>25</v>
      </c>
      <c r="D15" s="2">
        <f>10.5*B15</f>
        <v>10.5</v>
      </c>
    </row>
    <row r="16" spans="1:4" x14ac:dyDescent="0.25">
      <c r="A16" s="1" t="s">
        <v>35</v>
      </c>
      <c r="B16" s="3">
        <v>1</v>
      </c>
      <c r="C16" s="3" t="s">
        <v>25</v>
      </c>
      <c r="D16" s="2">
        <f>B16*15.52</f>
        <v>15.52</v>
      </c>
    </row>
    <row r="17" spans="1:4" x14ac:dyDescent="0.25">
      <c r="A17" s="1" t="s">
        <v>13</v>
      </c>
      <c r="B17" s="3">
        <v>1</v>
      </c>
      <c r="C17" s="3" t="s">
        <v>25</v>
      </c>
      <c r="D17" s="2">
        <f>50*B17</f>
        <v>50</v>
      </c>
    </row>
    <row r="18" spans="1:4" x14ac:dyDescent="0.25">
      <c r="A18" s="1" t="s">
        <v>14</v>
      </c>
      <c r="B18" s="3">
        <v>150</v>
      </c>
      <c r="C18" s="3" t="s">
        <v>25</v>
      </c>
      <c r="D18" s="2">
        <f>0.23*B18</f>
        <v>34.5</v>
      </c>
    </row>
    <row r="19" spans="1:4" x14ac:dyDescent="0.25">
      <c r="A19" s="1" t="s">
        <v>30</v>
      </c>
      <c r="B19" s="3">
        <v>10</v>
      </c>
      <c r="C19" s="3" t="s">
        <v>25</v>
      </c>
      <c r="D19" s="2">
        <f>B19*3.5</f>
        <v>35</v>
      </c>
    </row>
    <row r="20" spans="1:4" x14ac:dyDescent="0.25">
      <c r="A20" s="1" t="s">
        <v>16</v>
      </c>
      <c r="B20" s="3">
        <v>150</v>
      </c>
      <c r="C20" s="3" t="s">
        <v>25</v>
      </c>
      <c r="D20" s="2">
        <f>2.5*B20</f>
        <v>375</v>
      </c>
    </row>
    <row r="21" spans="1:4" x14ac:dyDescent="0.25">
      <c r="A21" s="1" t="s">
        <v>31</v>
      </c>
      <c r="B21" s="3">
        <v>398</v>
      </c>
      <c r="C21" s="3" t="s">
        <v>25</v>
      </c>
      <c r="D21" s="2">
        <f>0.05*B21</f>
        <v>19.900000000000002</v>
      </c>
    </row>
    <row r="22" spans="1:4" x14ac:dyDescent="0.25">
      <c r="A22" s="14" t="s">
        <v>18</v>
      </c>
      <c r="B22" s="14"/>
      <c r="C22" s="14"/>
      <c r="D22" s="4">
        <f>SUM(D4:D21)</f>
        <v>3361.308</v>
      </c>
    </row>
    <row r="24" spans="1:4" x14ac:dyDescent="0.25">
      <c r="A24" s="1" t="s">
        <v>19</v>
      </c>
      <c r="B24" s="5">
        <v>15</v>
      </c>
    </row>
    <row r="25" spans="1:4" x14ac:dyDescent="0.25">
      <c r="A25" s="1" t="s">
        <v>20</v>
      </c>
      <c r="B25" s="10">
        <f>(B12)*8</f>
        <v>88</v>
      </c>
    </row>
    <row r="26" spans="1:4" x14ac:dyDescent="0.25">
      <c r="A26" s="1" t="s">
        <v>21</v>
      </c>
      <c r="B26" s="11">
        <f>(B12)*16</f>
        <v>176</v>
      </c>
    </row>
    <row r="27" spans="1:4" x14ac:dyDescent="0.25">
      <c r="A27" s="1" t="s">
        <v>22</v>
      </c>
      <c r="B27" s="1">
        <f>450/B28*B24</f>
        <v>1125</v>
      </c>
    </row>
    <row r="28" spans="1:4" x14ac:dyDescent="0.25">
      <c r="A28" s="1" t="s">
        <v>23</v>
      </c>
      <c r="B28" s="1">
        <v>6</v>
      </c>
    </row>
    <row r="29" spans="1:4" x14ac:dyDescent="0.25">
      <c r="A29" s="1" t="s">
        <v>24</v>
      </c>
      <c r="B29" s="7">
        <f>D22+B27</f>
        <v>4486.308</v>
      </c>
    </row>
  </sheetData>
  <mergeCells count="2">
    <mergeCell ref="A2:D2"/>
    <mergeCell ref="A22:C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workbookViewId="0">
      <selection activeCell="A17" sqref="A17:B22"/>
    </sheetView>
  </sheetViews>
  <sheetFormatPr baseColWidth="10" defaultRowHeight="15" x14ac:dyDescent="0.25"/>
  <cols>
    <col min="1" max="1" width="34.7109375" customWidth="1"/>
  </cols>
  <sheetData>
    <row r="1" spans="1:4" x14ac:dyDescent="0.25">
      <c r="A1" s="8" t="s">
        <v>65</v>
      </c>
      <c r="B1" s="12"/>
      <c r="C1" s="12"/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62</v>
      </c>
      <c r="B4" s="3">
        <v>1407</v>
      </c>
      <c r="C4" s="3" t="s">
        <v>28</v>
      </c>
      <c r="D4" s="2">
        <f>B4*0.305</f>
        <v>429.13499999999999</v>
      </c>
    </row>
    <row r="5" spans="1:4" x14ac:dyDescent="0.25">
      <c r="A5" s="1" t="s">
        <v>7</v>
      </c>
      <c r="B5" s="3">
        <v>2</v>
      </c>
      <c r="C5" s="3" t="s">
        <v>26</v>
      </c>
      <c r="D5" s="2">
        <f>22*B5</f>
        <v>44</v>
      </c>
    </row>
    <row r="6" spans="1:4" x14ac:dyDescent="0.25">
      <c r="A6" s="1" t="s">
        <v>8</v>
      </c>
      <c r="B6" s="3">
        <v>24</v>
      </c>
      <c r="C6" s="3" t="s">
        <v>25</v>
      </c>
      <c r="D6" s="2">
        <f>B6*0.17</f>
        <v>4.08</v>
      </c>
    </row>
    <row r="7" spans="1:4" x14ac:dyDescent="0.25">
      <c r="A7" s="1" t="s">
        <v>10</v>
      </c>
      <c r="B7" s="3">
        <v>24</v>
      </c>
      <c r="C7" s="3" t="s">
        <v>25</v>
      </c>
      <c r="D7" s="2">
        <f>0.18*B7</f>
        <v>4.32</v>
      </c>
    </row>
    <row r="8" spans="1:4" x14ac:dyDescent="0.25">
      <c r="A8" s="1" t="s">
        <v>11</v>
      </c>
      <c r="B8" s="3">
        <v>24</v>
      </c>
      <c r="C8" s="3" t="s">
        <v>25</v>
      </c>
      <c r="D8" s="2">
        <f>0.796*B8</f>
        <v>19.103999999999999</v>
      </c>
    </row>
    <row r="9" spans="1:4" x14ac:dyDescent="0.25">
      <c r="A9" s="1" t="s">
        <v>33</v>
      </c>
      <c r="B9" s="3">
        <v>8</v>
      </c>
      <c r="C9" s="3" t="s">
        <v>25</v>
      </c>
      <c r="D9" s="2">
        <f>19.21*B9</f>
        <v>153.68</v>
      </c>
    </row>
    <row r="10" spans="1:4" x14ac:dyDescent="0.25">
      <c r="A10" s="1" t="s">
        <v>12</v>
      </c>
      <c r="B10" s="3">
        <v>2</v>
      </c>
      <c r="C10" s="3" t="s">
        <v>25</v>
      </c>
      <c r="D10" s="2">
        <f>7.9*B10</f>
        <v>15.8</v>
      </c>
    </row>
    <row r="11" spans="1:4" x14ac:dyDescent="0.25">
      <c r="A11" s="1" t="s">
        <v>14</v>
      </c>
      <c r="B11" s="3">
        <v>41</v>
      </c>
      <c r="C11" s="3" t="s">
        <v>25</v>
      </c>
      <c r="D11" s="2">
        <f>0.23*B11</f>
        <v>9.43</v>
      </c>
    </row>
    <row r="12" spans="1:4" x14ac:dyDescent="0.25">
      <c r="A12" s="1" t="s">
        <v>17</v>
      </c>
      <c r="B12" s="3">
        <v>1</v>
      </c>
      <c r="C12" s="3" t="s">
        <v>25</v>
      </c>
      <c r="D12" s="2">
        <f>B12*19.99</f>
        <v>19.989999999999998</v>
      </c>
    </row>
    <row r="13" spans="1:4" x14ac:dyDescent="0.25">
      <c r="A13" s="1" t="s">
        <v>16</v>
      </c>
      <c r="B13" s="3">
        <v>40</v>
      </c>
      <c r="C13" s="3" t="s">
        <v>25</v>
      </c>
      <c r="D13" s="2">
        <f>2.85*B13</f>
        <v>114</v>
      </c>
    </row>
    <row r="14" spans="1:4" x14ac:dyDescent="0.25">
      <c r="A14" s="1" t="s">
        <v>31</v>
      </c>
      <c r="B14" s="3">
        <v>50</v>
      </c>
      <c r="C14" s="3" t="s">
        <v>25</v>
      </c>
      <c r="D14" s="2">
        <f>0.05*B14</f>
        <v>2.5</v>
      </c>
    </row>
    <row r="15" spans="1:4" x14ac:dyDescent="0.25">
      <c r="A15" s="14" t="s">
        <v>18</v>
      </c>
      <c r="B15" s="14"/>
      <c r="C15" s="14"/>
      <c r="D15" s="4">
        <f>SUM(D4:D14)</f>
        <v>816.03899999999987</v>
      </c>
    </row>
    <row r="17" spans="1:2" x14ac:dyDescent="0.25">
      <c r="A17" s="1" t="s">
        <v>19</v>
      </c>
      <c r="B17" s="5">
        <v>7</v>
      </c>
    </row>
    <row r="18" spans="1:2" x14ac:dyDescent="0.25">
      <c r="A18" s="1" t="s">
        <v>20</v>
      </c>
      <c r="B18" s="10">
        <f>(B9)*8</f>
        <v>64</v>
      </c>
    </row>
    <row r="19" spans="1:2" x14ac:dyDescent="0.25">
      <c r="A19" s="1" t="s">
        <v>21</v>
      </c>
      <c r="B19" s="11">
        <f>(B9)*16</f>
        <v>128</v>
      </c>
    </row>
    <row r="20" spans="1:2" x14ac:dyDescent="0.25">
      <c r="A20" s="1" t="s">
        <v>22</v>
      </c>
      <c r="B20" s="1">
        <f>450/B21*B17</f>
        <v>525</v>
      </c>
    </row>
    <row r="21" spans="1:2" x14ac:dyDescent="0.25">
      <c r="A21" s="1" t="s">
        <v>23</v>
      </c>
      <c r="B21" s="1">
        <v>6</v>
      </c>
    </row>
    <row r="22" spans="1:2" x14ac:dyDescent="0.25">
      <c r="A22" s="1" t="s">
        <v>24</v>
      </c>
      <c r="B22" s="7">
        <f>D15+B20</f>
        <v>1341.0389999999998</v>
      </c>
    </row>
  </sheetData>
  <mergeCells count="2">
    <mergeCell ref="A2:D2"/>
    <mergeCell ref="A15:C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"/>
  <sheetViews>
    <sheetView zoomScale="90" zoomScaleNormal="90" workbookViewId="0">
      <selection activeCell="F33" sqref="F33"/>
    </sheetView>
  </sheetViews>
  <sheetFormatPr baseColWidth="10" defaultRowHeight="15" x14ac:dyDescent="0.25"/>
  <cols>
    <col min="1" max="1" width="32.7109375" customWidth="1"/>
  </cols>
  <sheetData>
    <row r="1" spans="1:4" x14ac:dyDescent="0.25">
      <c r="A1" s="8" t="s">
        <v>64</v>
      </c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66</v>
      </c>
      <c r="B4" s="3">
        <v>950</v>
      </c>
      <c r="C4" s="3" t="s">
        <v>28</v>
      </c>
      <c r="D4" s="2">
        <f>B4*0.45</f>
        <v>427.5</v>
      </c>
    </row>
    <row r="5" spans="1:4" x14ac:dyDescent="0.25">
      <c r="A5" s="1" t="s">
        <v>68</v>
      </c>
      <c r="B5" s="3">
        <v>346</v>
      </c>
      <c r="C5" s="3" t="s">
        <v>28</v>
      </c>
      <c r="D5" s="2">
        <f>B5*0.59</f>
        <v>204.14</v>
      </c>
    </row>
    <row r="6" spans="1:4" x14ac:dyDescent="0.25">
      <c r="A6" s="1" t="s">
        <v>7</v>
      </c>
      <c r="B6" s="3">
        <v>1</v>
      </c>
      <c r="C6" s="3" t="s">
        <v>26</v>
      </c>
      <c r="D6" s="2">
        <f>20.07*B6</f>
        <v>20.07</v>
      </c>
    </row>
    <row r="7" spans="1:4" x14ac:dyDescent="0.25">
      <c r="A7" s="1" t="s">
        <v>8</v>
      </c>
      <c r="B7" s="3">
        <v>11</v>
      </c>
      <c r="C7" s="3" t="s">
        <v>25</v>
      </c>
      <c r="D7" s="2">
        <f>B7*0.17</f>
        <v>1.87</v>
      </c>
    </row>
    <row r="8" spans="1:4" x14ac:dyDescent="0.25">
      <c r="A8" s="1" t="s">
        <v>9</v>
      </c>
      <c r="B8" s="3">
        <v>1</v>
      </c>
      <c r="C8" s="3" t="s">
        <v>26</v>
      </c>
      <c r="D8" s="2">
        <f>18.05*B8</f>
        <v>18.05</v>
      </c>
    </row>
    <row r="9" spans="1:4" x14ac:dyDescent="0.25">
      <c r="A9" s="1" t="s">
        <v>10</v>
      </c>
      <c r="B9" s="3">
        <v>6</v>
      </c>
      <c r="C9" s="3" t="s">
        <v>25</v>
      </c>
      <c r="D9" s="2">
        <f>0.18*B9</f>
        <v>1.08</v>
      </c>
    </row>
    <row r="10" spans="1:4" x14ac:dyDescent="0.25">
      <c r="A10" s="1" t="s">
        <v>11</v>
      </c>
      <c r="B10" s="3">
        <v>6</v>
      </c>
      <c r="C10" s="3" t="s">
        <v>25</v>
      </c>
      <c r="D10" s="2">
        <f>0.796*B10</f>
        <v>4.7759999999999998</v>
      </c>
    </row>
    <row r="11" spans="1:4" x14ac:dyDescent="0.25">
      <c r="A11" s="1" t="s">
        <v>67</v>
      </c>
      <c r="B11" s="3">
        <v>2</v>
      </c>
      <c r="C11" s="3" t="s">
        <v>25</v>
      </c>
      <c r="D11" s="2">
        <f>20.6*B11</f>
        <v>41.2</v>
      </c>
    </row>
    <row r="12" spans="1:4" x14ac:dyDescent="0.25">
      <c r="A12" s="1" t="s">
        <v>35</v>
      </c>
      <c r="B12" s="3">
        <v>1</v>
      </c>
      <c r="C12" s="3" t="s">
        <v>25</v>
      </c>
      <c r="D12" s="2">
        <f>B12*15.52</f>
        <v>15.52</v>
      </c>
    </row>
    <row r="13" spans="1:4" x14ac:dyDescent="0.25">
      <c r="A13" s="1" t="s">
        <v>14</v>
      </c>
      <c r="B13" s="3">
        <v>12</v>
      </c>
      <c r="C13" s="3" t="s">
        <v>25</v>
      </c>
      <c r="D13" s="2">
        <f>0.23*B13</f>
        <v>2.7600000000000002</v>
      </c>
    </row>
    <row r="14" spans="1:4" x14ac:dyDescent="0.25">
      <c r="A14" s="1" t="s">
        <v>30</v>
      </c>
      <c r="B14" s="3">
        <v>22</v>
      </c>
      <c r="C14" s="3" t="s">
        <v>25</v>
      </c>
      <c r="D14" s="2">
        <f>B14*1.75</f>
        <v>38.5</v>
      </c>
    </row>
    <row r="15" spans="1:4" x14ac:dyDescent="0.25">
      <c r="A15" s="14" t="s">
        <v>18</v>
      </c>
      <c r="B15" s="14"/>
      <c r="C15" s="14"/>
      <c r="D15" s="4">
        <f>SUM(D4:D14)</f>
        <v>775.46600000000001</v>
      </c>
    </row>
    <row r="17" spans="1:2" x14ac:dyDescent="0.25">
      <c r="A17" s="1" t="s">
        <v>19</v>
      </c>
      <c r="B17" s="5">
        <v>7</v>
      </c>
    </row>
    <row r="18" spans="1:2" x14ac:dyDescent="0.25">
      <c r="A18" s="1" t="s">
        <v>20</v>
      </c>
      <c r="B18" s="10">
        <v>32</v>
      </c>
    </row>
    <row r="19" spans="1:2" x14ac:dyDescent="0.25">
      <c r="A19" s="1" t="s">
        <v>21</v>
      </c>
      <c r="B19" s="11">
        <v>32</v>
      </c>
    </row>
    <row r="20" spans="1:2" x14ac:dyDescent="0.25">
      <c r="A20" s="1" t="s">
        <v>22</v>
      </c>
      <c r="B20" s="1">
        <f>450/B21*B17</f>
        <v>525</v>
      </c>
    </row>
    <row r="21" spans="1:2" x14ac:dyDescent="0.25">
      <c r="A21" s="1" t="s">
        <v>23</v>
      </c>
      <c r="B21" s="1">
        <v>6</v>
      </c>
    </row>
    <row r="22" spans="1:2" x14ac:dyDescent="0.25">
      <c r="A22" s="1" t="s">
        <v>24</v>
      </c>
      <c r="B22" s="7">
        <f>D15+B20</f>
        <v>1300.4659999999999</v>
      </c>
    </row>
  </sheetData>
  <mergeCells count="2">
    <mergeCell ref="A2:D2"/>
    <mergeCell ref="A15:C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1347-0AD8-4425-8D60-60850C88DF01}">
  <dimension ref="A1:D30"/>
  <sheetViews>
    <sheetView zoomScale="80" zoomScaleNormal="80" workbookViewId="0">
      <selection activeCell="G18" sqref="G18"/>
    </sheetView>
  </sheetViews>
  <sheetFormatPr baseColWidth="10" defaultRowHeight="15" x14ac:dyDescent="0.25"/>
  <cols>
    <col min="1" max="1" width="36.28515625" customWidth="1"/>
  </cols>
  <sheetData>
    <row r="1" spans="1:4" x14ac:dyDescent="0.25">
      <c r="A1" s="8" t="s">
        <v>69</v>
      </c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71</v>
      </c>
      <c r="B4" s="3">
        <v>403</v>
      </c>
      <c r="C4" s="3" t="s">
        <v>28</v>
      </c>
      <c r="D4" s="2">
        <f>B4*0.62</f>
        <v>249.85999999999999</v>
      </c>
    </row>
    <row r="5" spans="1:4" x14ac:dyDescent="0.25">
      <c r="A5" s="1" t="s">
        <v>72</v>
      </c>
      <c r="B5" s="3">
        <v>340</v>
      </c>
      <c r="C5" s="3" t="s">
        <v>28</v>
      </c>
      <c r="D5" s="2">
        <f>B5*0.3</f>
        <v>102</v>
      </c>
    </row>
    <row r="6" spans="1:4" x14ac:dyDescent="0.25">
      <c r="A6" s="1" t="s">
        <v>62</v>
      </c>
      <c r="B6" s="3">
        <v>578</v>
      </c>
      <c r="C6" s="3" t="s">
        <v>28</v>
      </c>
      <c r="D6" s="2">
        <f>B6*0.3</f>
        <v>173.4</v>
      </c>
    </row>
    <row r="7" spans="1:4" x14ac:dyDescent="0.25">
      <c r="A7" s="1" t="s">
        <v>37</v>
      </c>
      <c r="B7" s="3">
        <v>63</v>
      </c>
      <c r="C7" s="3" t="s">
        <v>25</v>
      </c>
      <c r="D7" s="2">
        <f>0.85*B7</f>
        <v>53.55</v>
      </c>
    </row>
    <row r="8" spans="1:4" x14ac:dyDescent="0.25">
      <c r="A8" s="1" t="s">
        <v>5</v>
      </c>
      <c r="B8" s="3">
        <v>45</v>
      </c>
      <c r="C8" s="3" t="s">
        <v>25</v>
      </c>
      <c r="D8" s="2">
        <f>1.46*B8</f>
        <v>65.7</v>
      </c>
    </row>
    <row r="9" spans="1:4" x14ac:dyDescent="0.25">
      <c r="A9" s="1" t="s">
        <v>6</v>
      </c>
      <c r="B9" s="3">
        <v>15</v>
      </c>
      <c r="C9" s="3" t="s">
        <v>25</v>
      </c>
      <c r="D9" s="2">
        <f>B9*1.8</f>
        <v>27</v>
      </c>
    </row>
    <row r="10" spans="1:4" x14ac:dyDescent="0.25">
      <c r="A10" s="1" t="s">
        <v>7</v>
      </c>
      <c r="B10" s="3">
        <v>1</v>
      </c>
      <c r="C10" s="3" t="s">
        <v>26</v>
      </c>
      <c r="D10" s="2">
        <f>20.6*B10</f>
        <v>20.6</v>
      </c>
    </row>
    <row r="11" spans="1:4" x14ac:dyDescent="0.25">
      <c r="A11" s="1" t="s">
        <v>8</v>
      </c>
      <c r="B11" s="3">
        <v>104</v>
      </c>
      <c r="C11" s="3" t="s">
        <v>25</v>
      </c>
      <c r="D11" s="2">
        <f>B11*0.2</f>
        <v>20.8</v>
      </c>
    </row>
    <row r="12" spans="1:4" x14ac:dyDescent="0.25">
      <c r="A12" s="1" t="s">
        <v>9</v>
      </c>
      <c r="B12" s="3">
        <v>1</v>
      </c>
      <c r="C12" s="3" t="s">
        <v>26</v>
      </c>
      <c r="D12" s="2">
        <f>18.05*B12</f>
        <v>18.05</v>
      </c>
    </row>
    <row r="13" spans="1:4" x14ac:dyDescent="0.25">
      <c r="A13" s="1" t="s">
        <v>10</v>
      </c>
      <c r="B13" s="3">
        <v>18</v>
      </c>
      <c r="C13" s="3" t="s">
        <v>25</v>
      </c>
      <c r="D13" s="2">
        <f>0.18*B13</f>
        <v>3.2399999999999998</v>
      </c>
    </row>
    <row r="14" spans="1:4" x14ac:dyDescent="0.25">
      <c r="A14" s="1" t="s">
        <v>11</v>
      </c>
      <c r="B14" s="3">
        <v>11</v>
      </c>
      <c r="C14" s="3" t="s">
        <v>25</v>
      </c>
      <c r="D14" s="2">
        <f>0.796*B14</f>
        <v>8.7560000000000002</v>
      </c>
    </row>
    <row r="15" spans="1:4" x14ac:dyDescent="0.25">
      <c r="A15" s="1" t="s">
        <v>33</v>
      </c>
      <c r="B15" s="3">
        <v>6</v>
      </c>
      <c r="C15" s="3" t="s">
        <v>25</v>
      </c>
      <c r="D15" s="2">
        <f>19.21*B15</f>
        <v>115.26</v>
      </c>
    </row>
    <row r="16" spans="1:4" x14ac:dyDescent="0.25">
      <c r="A16" s="1" t="s">
        <v>12</v>
      </c>
      <c r="B16" s="3">
        <v>3</v>
      </c>
      <c r="C16" s="3" t="s">
        <v>25</v>
      </c>
      <c r="D16" s="2">
        <f>7.9*B16</f>
        <v>23.700000000000003</v>
      </c>
    </row>
    <row r="17" spans="1:4" x14ac:dyDescent="0.25">
      <c r="A17" s="1" t="s">
        <v>70</v>
      </c>
      <c r="B17" s="3">
        <v>1</v>
      </c>
      <c r="C17" s="3" t="s">
        <v>25</v>
      </c>
      <c r="D17" s="2">
        <f>B17*11</f>
        <v>11</v>
      </c>
    </row>
    <row r="18" spans="1:4" x14ac:dyDescent="0.25">
      <c r="A18" s="1" t="s">
        <v>35</v>
      </c>
      <c r="B18" s="3">
        <v>3</v>
      </c>
      <c r="C18" s="3" t="s">
        <v>25</v>
      </c>
      <c r="D18" s="2">
        <f>B18*34.92</f>
        <v>104.76</v>
      </c>
    </row>
    <row r="19" spans="1:4" x14ac:dyDescent="0.25">
      <c r="A19" s="1" t="s">
        <v>13</v>
      </c>
      <c r="B19" s="3">
        <v>1</v>
      </c>
      <c r="C19" s="3" t="s">
        <v>25</v>
      </c>
      <c r="D19" s="2">
        <f>50*B19</f>
        <v>50</v>
      </c>
    </row>
    <row r="20" spans="1:4" x14ac:dyDescent="0.25">
      <c r="A20" s="1" t="s">
        <v>30</v>
      </c>
      <c r="B20" s="3">
        <v>2</v>
      </c>
      <c r="C20" s="3" t="s">
        <v>25</v>
      </c>
      <c r="D20" s="2">
        <f>B20*3.75</f>
        <v>7.5</v>
      </c>
    </row>
    <row r="21" spans="1:4" x14ac:dyDescent="0.25">
      <c r="A21" s="1" t="s">
        <v>16</v>
      </c>
      <c r="B21" s="3">
        <v>19</v>
      </c>
      <c r="C21" s="3" t="s">
        <v>25</v>
      </c>
      <c r="D21" s="2">
        <f>2.7*B21</f>
        <v>51.300000000000004</v>
      </c>
    </row>
    <row r="22" spans="1:4" x14ac:dyDescent="0.25">
      <c r="A22" s="1" t="s">
        <v>31</v>
      </c>
      <c r="B22" s="3">
        <v>70</v>
      </c>
      <c r="C22" s="3" t="s">
        <v>25</v>
      </c>
      <c r="D22" s="2">
        <f>0.07*B22</f>
        <v>4.9000000000000004</v>
      </c>
    </row>
    <row r="23" spans="1:4" x14ac:dyDescent="0.25">
      <c r="A23" s="14" t="s">
        <v>18</v>
      </c>
      <c r="B23" s="14"/>
      <c r="C23" s="14"/>
      <c r="D23" s="4">
        <f>SUM(D4:D22)</f>
        <v>1111.376</v>
      </c>
    </row>
    <row r="25" spans="1:4" x14ac:dyDescent="0.25">
      <c r="A25" s="1" t="s">
        <v>19</v>
      </c>
      <c r="B25" s="5">
        <v>10</v>
      </c>
    </row>
    <row r="26" spans="1:4" x14ac:dyDescent="0.25">
      <c r="A26" s="1" t="s">
        <v>20</v>
      </c>
      <c r="B26" s="10">
        <f>(B15)*8</f>
        <v>48</v>
      </c>
    </row>
    <row r="27" spans="1:4" x14ac:dyDescent="0.25">
      <c r="A27" s="1" t="s">
        <v>21</v>
      </c>
      <c r="B27" s="11">
        <f>(B15)*16</f>
        <v>96</v>
      </c>
    </row>
    <row r="28" spans="1:4" x14ac:dyDescent="0.25">
      <c r="A28" s="1" t="s">
        <v>22</v>
      </c>
      <c r="B28" s="16">
        <f>450/B29*B25</f>
        <v>750</v>
      </c>
    </row>
    <row r="29" spans="1:4" x14ac:dyDescent="0.25">
      <c r="A29" s="1" t="s">
        <v>23</v>
      </c>
      <c r="B29" s="1">
        <v>6</v>
      </c>
    </row>
    <row r="30" spans="1:4" x14ac:dyDescent="0.25">
      <c r="A30" s="1" t="s">
        <v>24</v>
      </c>
      <c r="B30" s="15">
        <f>D23+B28</f>
        <v>1861.376</v>
      </c>
    </row>
  </sheetData>
  <mergeCells count="2">
    <mergeCell ref="A2:D2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2505-C6B2-4FF0-B3E0-0DCAF2186C0A}">
  <dimension ref="A1:D37"/>
  <sheetViews>
    <sheetView zoomScale="80" zoomScaleNormal="80" workbookViewId="0">
      <selection sqref="A1:D37"/>
    </sheetView>
  </sheetViews>
  <sheetFormatPr baseColWidth="10" defaultRowHeight="15" x14ac:dyDescent="0.25"/>
  <cols>
    <col min="1" max="1" width="39.140625" customWidth="1"/>
  </cols>
  <sheetData>
    <row r="1" spans="1:4" x14ac:dyDescent="0.25">
      <c r="A1" s="8" t="s">
        <v>79</v>
      </c>
      <c r="B1" s="12"/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73</v>
      </c>
      <c r="B4" s="3">
        <v>1670</v>
      </c>
      <c r="C4" s="3" t="s">
        <v>28</v>
      </c>
      <c r="D4" s="2">
        <f>B4*1.09</f>
        <v>1820.3000000000002</v>
      </c>
    </row>
    <row r="5" spans="1:4" x14ac:dyDescent="0.25">
      <c r="A5" s="1" t="s">
        <v>71</v>
      </c>
      <c r="B5" s="3">
        <v>11725</v>
      </c>
      <c r="C5" s="3" t="s">
        <v>28</v>
      </c>
      <c r="D5" s="2">
        <f>B5*0.56</f>
        <v>6566.0000000000009</v>
      </c>
    </row>
    <row r="6" spans="1:4" x14ac:dyDescent="0.25">
      <c r="A6" s="1" t="s">
        <v>72</v>
      </c>
      <c r="B6" s="3">
        <v>1012</v>
      </c>
      <c r="C6" s="3" t="s">
        <v>28</v>
      </c>
      <c r="D6" s="2">
        <f>B6*0.4</f>
        <v>404.8</v>
      </c>
    </row>
    <row r="7" spans="1:4" x14ac:dyDescent="0.25">
      <c r="A7" s="1" t="s">
        <v>62</v>
      </c>
      <c r="B7" s="3">
        <v>15590</v>
      </c>
      <c r="C7" s="3" t="s">
        <v>28</v>
      </c>
      <c r="D7" s="2">
        <f>B7*0.305</f>
        <v>4754.95</v>
      </c>
    </row>
    <row r="8" spans="1:4" x14ac:dyDescent="0.25">
      <c r="A8" s="1" t="s">
        <v>76</v>
      </c>
      <c r="B8" s="3">
        <v>2960</v>
      </c>
      <c r="C8" s="3" t="s">
        <v>28</v>
      </c>
      <c r="D8" s="2">
        <f>B8*0.45</f>
        <v>1332</v>
      </c>
    </row>
    <row r="9" spans="1:4" x14ac:dyDescent="0.25">
      <c r="A9" s="1" t="s">
        <v>74</v>
      </c>
      <c r="B9" s="3">
        <v>1</v>
      </c>
      <c r="C9" s="3" t="s">
        <v>25</v>
      </c>
      <c r="D9" s="2">
        <v>143</v>
      </c>
    </row>
    <row r="10" spans="1:4" x14ac:dyDescent="0.25">
      <c r="A10" s="1" t="s">
        <v>14</v>
      </c>
      <c r="B10" s="3">
        <v>562</v>
      </c>
      <c r="C10" s="3" t="s">
        <v>25</v>
      </c>
      <c r="D10" s="2">
        <f>0.28*B10</f>
        <v>157.36000000000001</v>
      </c>
    </row>
    <row r="11" spans="1:4" x14ac:dyDescent="0.25">
      <c r="A11" s="1" t="s">
        <v>5</v>
      </c>
      <c r="B11" s="3">
        <v>137</v>
      </c>
      <c r="C11" s="3" t="s">
        <v>25</v>
      </c>
      <c r="D11" s="2">
        <f>1.3*B11</f>
        <v>178.1</v>
      </c>
    </row>
    <row r="12" spans="1:4" x14ac:dyDescent="0.25">
      <c r="A12" s="1" t="s">
        <v>6</v>
      </c>
      <c r="B12" s="3">
        <v>149</v>
      </c>
      <c r="C12" s="3" t="s">
        <v>25</v>
      </c>
      <c r="D12" s="2">
        <f>B12*1.8</f>
        <v>268.2</v>
      </c>
    </row>
    <row r="13" spans="1:4" x14ac:dyDescent="0.25">
      <c r="A13" s="1" t="s">
        <v>7</v>
      </c>
      <c r="B13" s="3">
        <v>21</v>
      </c>
      <c r="C13" s="3" t="s">
        <v>26</v>
      </c>
      <c r="D13" s="2">
        <f>20.6*B13</f>
        <v>432.6</v>
      </c>
    </row>
    <row r="14" spans="1:4" x14ac:dyDescent="0.25">
      <c r="A14" s="1" t="s">
        <v>8</v>
      </c>
      <c r="B14" s="3">
        <v>797</v>
      </c>
      <c r="C14" s="3" t="s">
        <v>25</v>
      </c>
      <c r="D14" s="2">
        <f>B14*0.2</f>
        <v>159.4</v>
      </c>
    </row>
    <row r="15" spans="1:4" x14ac:dyDescent="0.25">
      <c r="A15" s="1" t="s">
        <v>9</v>
      </c>
      <c r="B15" s="3">
        <v>17</v>
      </c>
      <c r="C15" s="3" t="s">
        <v>26</v>
      </c>
      <c r="D15" s="2">
        <f>16.95*B15</f>
        <v>288.14999999999998</v>
      </c>
    </row>
    <row r="16" spans="1:4" x14ac:dyDescent="0.25">
      <c r="A16" s="1" t="s">
        <v>10</v>
      </c>
      <c r="B16" s="3">
        <v>473</v>
      </c>
      <c r="C16" s="3" t="s">
        <v>25</v>
      </c>
      <c r="D16" s="2">
        <f>0.18*B16</f>
        <v>85.14</v>
      </c>
    </row>
    <row r="17" spans="1:4" x14ac:dyDescent="0.25">
      <c r="A17" s="1" t="s">
        <v>11</v>
      </c>
      <c r="B17" s="3">
        <v>450</v>
      </c>
      <c r="C17" s="3" t="s">
        <v>25</v>
      </c>
      <c r="D17" s="2">
        <f>0.781*B17</f>
        <v>351.45</v>
      </c>
    </row>
    <row r="18" spans="1:4" x14ac:dyDescent="0.25">
      <c r="A18" s="1" t="s">
        <v>33</v>
      </c>
      <c r="B18" s="3">
        <v>153</v>
      </c>
      <c r="C18" s="3" t="s">
        <v>25</v>
      </c>
      <c r="D18" s="2">
        <f>15*B18</f>
        <v>2295</v>
      </c>
    </row>
    <row r="19" spans="1:4" x14ac:dyDescent="0.25">
      <c r="A19" s="1" t="s">
        <v>12</v>
      </c>
      <c r="B19" s="3">
        <v>15</v>
      </c>
      <c r="C19" s="3" t="s">
        <v>25</v>
      </c>
      <c r="D19" s="2">
        <f>7.9*B19</f>
        <v>118.5</v>
      </c>
    </row>
    <row r="20" spans="1:4" x14ac:dyDescent="0.25">
      <c r="A20" s="1" t="s">
        <v>77</v>
      </c>
      <c r="B20" s="3">
        <v>4</v>
      </c>
      <c r="C20" s="3" t="s">
        <v>25</v>
      </c>
      <c r="D20" s="2">
        <v>44</v>
      </c>
    </row>
    <row r="21" spans="1:4" x14ac:dyDescent="0.25">
      <c r="A21" s="1" t="s">
        <v>70</v>
      </c>
      <c r="B21" s="3">
        <v>1</v>
      </c>
      <c r="C21" s="3" t="s">
        <v>25</v>
      </c>
      <c r="D21" s="2">
        <f>B21*11</f>
        <v>11</v>
      </c>
    </row>
    <row r="22" spans="1:4" x14ac:dyDescent="0.25">
      <c r="A22" s="1" t="s">
        <v>35</v>
      </c>
      <c r="B22" s="3">
        <v>4</v>
      </c>
      <c r="C22" s="3" t="s">
        <v>25</v>
      </c>
      <c r="D22" s="2">
        <f>B22*55</f>
        <v>220</v>
      </c>
    </row>
    <row r="23" spans="1:4" x14ac:dyDescent="0.25">
      <c r="A23" s="1" t="s">
        <v>13</v>
      </c>
      <c r="B23" s="3">
        <v>5</v>
      </c>
      <c r="C23" s="3" t="s">
        <v>25</v>
      </c>
      <c r="D23" s="2">
        <f>50*B23</f>
        <v>250</v>
      </c>
    </row>
    <row r="24" spans="1:4" x14ac:dyDescent="0.25">
      <c r="A24" s="1" t="s">
        <v>30</v>
      </c>
      <c r="B24" s="3">
        <v>30</v>
      </c>
      <c r="C24" s="3" t="s">
        <v>25</v>
      </c>
      <c r="D24" s="2">
        <f>B24*3.75</f>
        <v>112.5</v>
      </c>
    </row>
    <row r="25" spans="1:4" x14ac:dyDescent="0.25">
      <c r="A25" s="1" t="s">
        <v>15</v>
      </c>
      <c r="B25" s="3">
        <v>376</v>
      </c>
      <c r="C25" s="3" t="s">
        <v>25</v>
      </c>
      <c r="D25" s="2">
        <f>B25*3.7</f>
        <v>1391.2</v>
      </c>
    </row>
    <row r="26" spans="1:4" x14ac:dyDescent="0.25">
      <c r="A26" s="1" t="s">
        <v>16</v>
      </c>
      <c r="B26" s="3">
        <v>441</v>
      </c>
      <c r="C26" s="3" t="s">
        <v>25</v>
      </c>
      <c r="D26" s="2">
        <f>2.8*B26</f>
        <v>1234.8</v>
      </c>
    </row>
    <row r="27" spans="1:4" x14ac:dyDescent="0.25">
      <c r="A27" s="1" t="s">
        <v>75</v>
      </c>
      <c r="B27" s="3">
        <v>1</v>
      </c>
      <c r="C27" s="3" t="s">
        <v>25</v>
      </c>
      <c r="D27" s="2">
        <v>52.78</v>
      </c>
    </row>
    <row r="28" spans="1:4" x14ac:dyDescent="0.25">
      <c r="A28" s="1" t="s">
        <v>31</v>
      </c>
      <c r="B28" s="3">
        <v>2283</v>
      </c>
      <c r="C28" s="3" t="s">
        <v>25</v>
      </c>
      <c r="D28" s="2">
        <f>0.06*B28</f>
        <v>136.97999999999999</v>
      </c>
    </row>
    <row r="29" spans="1:4" x14ac:dyDescent="0.25">
      <c r="A29" s="1" t="s">
        <v>78</v>
      </c>
      <c r="B29" s="3"/>
      <c r="C29" s="3" t="s">
        <v>44</v>
      </c>
      <c r="D29" s="2">
        <v>60000</v>
      </c>
    </row>
    <row r="30" spans="1:4" x14ac:dyDescent="0.25">
      <c r="A30" s="14" t="s">
        <v>18</v>
      </c>
      <c r="B30" s="14"/>
      <c r="C30" s="14"/>
      <c r="D30" s="4">
        <f>SUM(D4:D29)</f>
        <v>82808.209999999992</v>
      </c>
    </row>
    <row r="32" spans="1:4" x14ac:dyDescent="0.25">
      <c r="A32" s="1" t="s">
        <v>19</v>
      </c>
      <c r="B32" s="5">
        <v>60</v>
      </c>
    </row>
    <row r="33" spans="1:2" x14ac:dyDescent="0.25">
      <c r="A33" s="1" t="s">
        <v>20</v>
      </c>
      <c r="B33" s="10">
        <f>(B18)*8</f>
        <v>1224</v>
      </c>
    </row>
    <row r="34" spans="1:2" x14ac:dyDescent="0.25">
      <c r="A34" s="1" t="s">
        <v>21</v>
      </c>
      <c r="B34" s="11">
        <f>(B18)*16</f>
        <v>2448</v>
      </c>
    </row>
    <row r="35" spans="1:2" x14ac:dyDescent="0.25">
      <c r="A35" s="1" t="s">
        <v>22</v>
      </c>
      <c r="B35" s="16">
        <f>450/B36*B32</f>
        <v>4500</v>
      </c>
    </row>
    <row r="36" spans="1:2" x14ac:dyDescent="0.25">
      <c r="A36" s="1" t="s">
        <v>23</v>
      </c>
      <c r="B36" s="1">
        <v>6</v>
      </c>
    </row>
    <row r="37" spans="1:2" x14ac:dyDescent="0.25">
      <c r="A37" s="1" t="s">
        <v>24</v>
      </c>
      <c r="B37" s="17">
        <f>D30+B35</f>
        <v>87308.209999999992</v>
      </c>
    </row>
  </sheetData>
  <mergeCells count="2">
    <mergeCell ref="A2:D2"/>
    <mergeCell ref="A30:C30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53932-B3EC-4BA1-82EE-39EC89927147}">
  <dimension ref="A1:D32"/>
  <sheetViews>
    <sheetView topLeftCell="A7" zoomScale="80" zoomScaleNormal="80" workbookViewId="0">
      <selection activeCell="F19" sqref="F19"/>
    </sheetView>
  </sheetViews>
  <sheetFormatPr baseColWidth="10" defaultRowHeight="15" x14ac:dyDescent="0.25"/>
  <cols>
    <col min="1" max="1" width="32.85546875" customWidth="1"/>
  </cols>
  <sheetData>
    <row r="1" spans="1:4" x14ac:dyDescent="0.25">
      <c r="A1" s="8" t="s">
        <v>81</v>
      </c>
      <c r="B1" s="12"/>
    </row>
    <row r="2" spans="1:4" x14ac:dyDescent="0.25">
      <c r="A2" s="13" t="s">
        <v>0</v>
      </c>
      <c r="B2" s="13"/>
      <c r="C2" s="13"/>
      <c r="D2" s="13"/>
    </row>
    <row r="3" spans="1:4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x14ac:dyDescent="0.25">
      <c r="A4" s="1" t="s">
        <v>71</v>
      </c>
      <c r="B4" s="3">
        <v>4622</v>
      </c>
      <c r="C4" s="3" t="s">
        <v>28</v>
      </c>
      <c r="D4" s="2">
        <f>B4*0.58</f>
        <v>2680.7599999999998</v>
      </c>
    </row>
    <row r="5" spans="1:4" x14ac:dyDescent="0.25">
      <c r="A5" s="1" t="s">
        <v>72</v>
      </c>
      <c r="B5" s="3">
        <v>403</v>
      </c>
      <c r="C5" s="3" t="s">
        <v>28</v>
      </c>
      <c r="D5" s="2">
        <f>B5*0.3</f>
        <v>120.89999999999999</v>
      </c>
    </row>
    <row r="6" spans="1:4" x14ac:dyDescent="0.25">
      <c r="A6" s="1" t="s">
        <v>62</v>
      </c>
      <c r="B6" s="3">
        <v>2860</v>
      </c>
      <c r="C6" s="3" t="s">
        <v>28</v>
      </c>
      <c r="D6" s="2">
        <f>B6*0.305</f>
        <v>872.3</v>
      </c>
    </row>
    <row r="7" spans="1:4" x14ac:dyDescent="0.25">
      <c r="A7" s="1" t="s">
        <v>80</v>
      </c>
      <c r="B7" s="3">
        <v>4142</v>
      </c>
      <c r="C7" s="3" t="s">
        <v>28</v>
      </c>
      <c r="D7" s="2">
        <f>B7*0.45</f>
        <v>1863.9</v>
      </c>
    </row>
    <row r="8" spans="1:4" x14ac:dyDescent="0.25">
      <c r="A8" s="1" t="s">
        <v>14</v>
      </c>
      <c r="B8" s="3">
        <v>55</v>
      </c>
      <c r="C8" s="3" t="s">
        <v>25</v>
      </c>
      <c r="D8" s="2">
        <f>0.24*B8</f>
        <v>13.2</v>
      </c>
    </row>
    <row r="9" spans="1:4" x14ac:dyDescent="0.25">
      <c r="A9" s="1" t="s">
        <v>5</v>
      </c>
      <c r="B9" s="3">
        <v>62</v>
      </c>
      <c r="C9" s="3" t="s">
        <v>25</v>
      </c>
      <c r="D9" s="2">
        <f>1.3*B9</f>
        <v>80.600000000000009</v>
      </c>
    </row>
    <row r="10" spans="1:4" x14ac:dyDescent="0.25">
      <c r="A10" s="1" t="s">
        <v>6</v>
      </c>
      <c r="B10" s="3">
        <v>25</v>
      </c>
      <c r="C10" s="3" t="s">
        <v>25</v>
      </c>
      <c r="D10" s="2">
        <f>B10*1.8</f>
        <v>45</v>
      </c>
    </row>
    <row r="11" spans="1:4" x14ac:dyDescent="0.25">
      <c r="A11" s="1" t="s">
        <v>7</v>
      </c>
      <c r="B11" s="3">
        <v>3.5</v>
      </c>
      <c r="C11" s="3" t="s">
        <v>26</v>
      </c>
      <c r="D11" s="2">
        <f>20.6*B11</f>
        <v>72.100000000000009</v>
      </c>
    </row>
    <row r="12" spans="1:4" x14ac:dyDescent="0.25">
      <c r="A12" s="1" t="s">
        <v>8</v>
      </c>
      <c r="B12" s="3">
        <v>174</v>
      </c>
      <c r="C12" s="3" t="s">
        <v>25</v>
      </c>
      <c r="D12" s="2">
        <f>B12*0.2</f>
        <v>34.800000000000004</v>
      </c>
    </row>
    <row r="13" spans="1:4" x14ac:dyDescent="0.25">
      <c r="A13" s="1" t="s">
        <v>9</v>
      </c>
      <c r="B13" s="3">
        <v>2.25</v>
      </c>
      <c r="C13" s="3" t="s">
        <v>26</v>
      </c>
      <c r="D13" s="2">
        <f>16.95*B13</f>
        <v>38.137499999999996</v>
      </c>
    </row>
    <row r="14" spans="1:4" x14ac:dyDescent="0.25">
      <c r="A14" s="1" t="s">
        <v>10</v>
      </c>
      <c r="B14" s="3">
        <v>57</v>
      </c>
      <c r="C14" s="3" t="s">
        <v>25</v>
      </c>
      <c r="D14" s="2">
        <f>0.18*B14</f>
        <v>10.26</v>
      </c>
    </row>
    <row r="15" spans="1:4" x14ac:dyDescent="0.25">
      <c r="A15" s="1" t="s">
        <v>11</v>
      </c>
      <c r="B15" s="3">
        <v>61</v>
      </c>
      <c r="C15" s="3" t="s">
        <v>25</v>
      </c>
      <c r="D15" s="2">
        <f>0.781*B15</f>
        <v>47.640999999999998</v>
      </c>
    </row>
    <row r="16" spans="1:4" x14ac:dyDescent="0.25">
      <c r="A16" s="1" t="s">
        <v>33</v>
      </c>
      <c r="B16" s="3">
        <v>40</v>
      </c>
      <c r="C16" s="3" t="s">
        <v>25</v>
      </c>
      <c r="D16" s="2">
        <f>13*B16</f>
        <v>520</v>
      </c>
    </row>
    <row r="17" spans="1:4" x14ac:dyDescent="0.25">
      <c r="A17" s="1" t="s">
        <v>12</v>
      </c>
      <c r="B17" s="3">
        <v>4</v>
      </c>
      <c r="C17" s="3" t="s">
        <v>25</v>
      </c>
      <c r="D17" s="2">
        <f>7.9*B17</f>
        <v>31.6</v>
      </c>
    </row>
    <row r="18" spans="1:4" x14ac:dyDescent="0.25">
      <c r="A18" s="1" t="s">
        <v>35</v>
      </c>
      <c r="B18" s="3">
        <v>2</v>
      </c>
      <c r="C18" s="3" t="s">
        <v>25</v>
      </c>
      <c r="D18" s="2">
        <f>B18*55</f>
        <v>110</v>
      </c>
    </row>
    <row r="19" spans="1:4" x14ac:dyDescent="0.25">
      <c r="A19" s="1" t="s">
        <v>13</v>
      </c>
      <c r="B19" s="3">
        <v>3</v>
      </c>
      <c r="C19" s="3" t="s">
        <v>25</v>
      </c>
      <c r="D19" s="2">
        <f>50*B19</f>
        <v>150</v>
      </c>
    </row>
    <row r="20" spans="1:4" x14ac:dyDescent="0.25">
      <c r="A20" s="1" t="s">
        <v>30</v>
      </c>
      <c r="B20" s="3">
        <v>110</v>
      </c>
      <c r="C20" s="3" t="s">
        <v>25</v>
      </c>
      <c r="D20" s="2">
        <f>B20*3.4</f>
        <v>374</v>
      </c>
    </row>
    <row r="21" spans="1:4" x14ac:dyDescent="0.25">
      <c r="A21" s="1" t="s">
        <v>15</v>
      </c>
      <c r="B21" s="3">
        <v>62</v>
      </c>
      <c r="C21" s="3" t="s">
        <v>25</v>
      </c>
      <c r="D21" s="2">
        <f>B21*3.85</f>
        <v>238.70000000000002</v>
      </c>
    </row>
    <row r="22" spans="1:4" x14ac:dyDescent="0.25">
      <c r="A22" s="1" t="s">
        <v>16</v>
      </c>
      <c r="B22" s="3">
        <v>68</v>
      </c>
      <c r="C22" s="3" t="s">
        <v>25</v>
      </c>
      <c r="D22" s="2">
        <f>2.8*B22</f>
        <v>190.39999999999998</v>
      </c>
    </row>
    <row r="23" spans="1:4" x14ac:dyDescent="0.25">
      <c r="A23" s="1" t="s">
        <v>75</v>
      </c>
      <c r="B23" s="3"/>
      <c r="C23" s="3" t="s">
        <v>25</v>
      </c>
      <c r="D23" s="2">
        <v>52.78</v>
      </c>
    </row>
    <row r="24" spans="1:4" x14ac:dyDescent="0.25">
      <c r="A24" s="1" t="s">
        <v>31</v>
      </c>
      <c r="B24" s="3">
        <v>518</v>
      </c>
      <c r="C24" s="3" t="s">
        <v>25</v>
      </c>
      <c r="D24" s="2">
        <f>0.06*B24</f>
        <v>31.08</v>
      </c>
    </row>
    <row r="25" spans="1:4" x14ac:dyDescent="0.25">
      <c r="A25" s="14" t="s">
        <v>18</v>
      </c>
      <c r="B25" s="14"/>
      <c r="C25" s="14"/>
      <c r="D25" s="4">
        <f>SUM(D4:D24)</f>
        <v>7578.1585000000005</v>
      </c>
    </row>
    <row r="27" spans="1:4" x14ac:dyDescent="0.25">
      <c r="A27" s="1" t="s">
        <v>19</v>
      </c>
      <c r="B27" s="5">
        <v>21</v>
      </c>
    </row>
    <row r="28" spans="1:4" x14ac:dyDescent="0.25">
      <c r="A28" s="1" t="s">
        <v>20</v>
      </c>
      <c r="B28" s="10">
        <f>(B16)*8</f>
        <v>320</v>
      </c>
    </row>
    <row r="29" spans="1:4" x14ac:dyDescent="0.25">
      <c r="A29" s="1" t="s">
        <v>21</v>
      </c>
      <c r="B29" s="11">
        <f>(B16)*16</f>
        <v>640</v>
      </c>
    </row>
    <row r="30" spans="1:4" x14ac:dyDescent="0.25">
      <c r="A30" s="1" t="s">
        <v>22</v>
      </c>
      <c r="B30" s="16">
        <f>450/B31*B27</f>
        <v>1575</v>
      </c>
    </row>
    <row r="31" spans="1:4" x14ac:dyDescent="0.25">
      <c r="A31" s="1" t="s">
        <v>23</v>
      </c>
      <c r="B31" s="1">
        <v>6</v>
      </c>
    </row>
    <row r="32" spans="1:4" x14ac:dyDescent="0.25">
      <c r="A32" s="1" t="s">
        <v>24</v>
      </c>
      <c r="B32" s="17">
        <f>D25+B30</f>
        <v>9153.1585000000014</v>
      </c>
    </row>
  </sheetData>
  <mergeCells count="2">
    <mergeCell ref="A2:D2"/>
    <mergeCell ref="A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SANTA MARTHA</vt:lpstr>
      <vt:lpstr>PALENQUE</vt:lpstr>
      <vt:lpstr>LAS BALSAS</vt:lpstr>
      <vt:lpstr>LA PANCHITA</vt:lpstr>
      <vt:lpstr>EXTENSIONES LA ISLA</vt:lpstr>
      <vt:lpstr>RCTO LA CHONTILLA</vt:lpstr>
      <vt:lpstr>EXTENSIONES BABA</vt:lpstr>
      <vt:lpstr>LA UNION</vt:lpstr>
      <vt:lpstr>EXTENSION DE RED SAN JUAN </vt:lpstr>
      <vt:lpstr>HUAQUILLA</vt:lpstr>
      <vt:lpstr>PUERTO REAL</vt:lpstr>
      <vt:lpstr>ISLA-BABA</vt:lpstr>
      <vt:lpstr>GUARE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Jose L. Nunes G.</cp:lastModifiedBy>
  <dcterms:created xsi:type="dcterms:W3CDTF">2023-05-12T17:01:57Z</dcterms:created>
  <dcterms:modified xsi:type="dcterms:W3CDTF">2023-12-30T03:00:33Z</dcterms:modified>
</cp:coreProperties>
</file>